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defaultThemeVersion="124226"/>
  <mc:AlternateContent xmlns:mc="http://schemas.openxmlformats.org/markup-compatibility/2006">
    <mc:Choice Requires="x15">
      <x15ac:absPath xmlns:x15ac="http://schemas.microsoft.com/office/spreadsheetml/2010/11/ac" url="C:\Users\Natalia\Documents\aug21\MDP\SEMESTRE3\Emprendimiento\"/>
    </mc:Choice>
  </mc:AlternateContent>
  <xr:revisionPtr revIDLastSave="0" documentId="8_{55B78135-72B5-4380-8B66-4C46D41C98C0}" xr6:coauthVersionLast="47" xr6:coauthVersionMax="47" xr10:uidLastSave="{00000000-0000-0000-0000-000000000000}"/>
  <bookViews>
    <workbookView xWindow="-120" yWindow="-120" windowWidth="20730" windowHeight="11160" activeTab="2" xr2:uid="{00000000-000D-0000-FFFF-FFFF00000000}"/>
  </bookViews>
  <sheets>
    <sheet name="Modelo de valoración ASG" sheetId="12" r:id="rId1"/>
    <sheet name="Info Base" sheetId="15" r:id="rId2"/>
    <sheet name="Préstamo" sheetId="13" r:id="rId3"/>
    <sheet name="Indicadores" sheetId="14" state="hidden" r:id="rId4"/>
    <sheet name="CB_DATA_" sheetId="10" state="veryHidden" r:id="rId5"/>
  </sheets>
  <definedNames>
    <definedName name="CB_55b018c035b24f388251de407fcf94a1" localSheetId="4" hidden="1">#N/A</definedName>
    <definedName name="CB_Block_00000000000000000000000000000000" localSheetId="4" hidden="1">"'7.0.0.0"</definedName>
    <definedName name="CB_Block_00000000000000000000000000000001" localSheetId="4" hidden="1">"'637076210156769310"</definedName>
    <definedName name="CB_Block_00000000000000000000000000000003" localSheetId="4" hidden="1">"'11.1.4100.0"</definedName>
    <definedName name="CB_BlockExt_00000000000000000000000000000003" localSheetId="4" hidden="1">"'11.1.2.4.000"</definedName>
    <definedName name="CBWorkbookPriority" localSheetId="4" hidden="1">-1247493973530410</definedName>
    <definedName name="CBx_8ddb87ce3f694ae5b5694705d48ecf18" localSheetId="4" hidden="1">"' Simulación'!$A$1"</definedName>
    <definedName name="CBx_dc298f1dda5b4e01bdb6f89bfe63197e" localSheetId="4" hidden="1">"'CB_DATA_'!$A$1"</definedName>
    <definedName name="CBx_Sheet_Guid" localSheetId="4" hidden="1">"'dc298f1d-da5b-4e01-bdb6-f89bfe63197e"</definedName>
    <definedName name="CBx_SheetRef" localSheetId="4" hidden="1">CB_DATA_!$A$14</definedName>
    <definedName name="CBx_StorageType" localSheetId="4" hidden="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55" i="12" l="1"/>
  <c r="E55" i="12"/>
  <c r="F55" i="12"/>
  <c r="G55" i="12"/>
  <c r="H55" i="12"/>
  <c r="C55" i="12"/>
  <c r="I12" i="15"/>
  <c r="I13" i="15"/>
  <c r="E10" i="15"/>
  <c r="E151" i="12"/>
  <c r="C151" i="12"/>
  <c r="D35" i="12"/>
  <c r="E35" i="12"/>
  <c r="F35" i="12"/>
  <c r="G35" i="12"/>
  <c r="H35" i="12"/>
  <c r="H147" i="12"/>
  <c r="D170" i="12"/>
  <c r="C170" i="12"/>
  <c r="C147" i="12" l="1"/>
  <c r="F218" i="12"/>
  <c r="E218" i="12"/>
  <c r="D218" i="12"/>
  <c r="C17" i="12"/>
  <c r="C24" i="12"/>
  <c r="C135" i="12"/>
  <c r="H50" i="13"/>
  <c r="H38" i="13"/>
  <c r="H26" i="13"/>
  <c r="F271" i="12" l="1"/>
  <c r="G271" i="12"/>
  <c r="C218" i="12"/>
  <c r="B363" i="12" l="1"/>
  <c r="C27" i="14"/>
  <c r="C29" i="14" s="1"/>
  <c r="C94" i="12" s="1"/>
  <c r="C385" i="12" s="1"/>
  <c r="E4" i="15"/>
  <c r="F13" i="15"/>
  <c r="C10" i="14"/>
  <c r="B38" i="15"/>
  <c r="C74" i="12" s="1"/>
  <c r="D74" i="12" s="1"/>
  <c r="E74" i="12" s="1"/>
  <c r="F74" i="12" s="1"/>
  <c r="G74" i="12" s="1"/>
  <c r="H74" i="12" s="1"/>
  <c r="B29" i="15"/>
  <c r="B30" i="15" s="1"/>
  <c r="B31" i="15" s="1"/>
  <c r="E16" i="15"/>
  <c r="F16" i="15" s="1"/>
  <c r="E15" i="15"/>
  <c r="F15" i="15" s="1"/>
  <c r="E14" i="15"/>
  <c r="E13" i="15"/>
  <c r="E12" i="15"/>
  <c r="F10" i="15" s="1"/>
  <c r="E11" i="15"/>
  <c r="E9" i="15"/>
  <c r="E8" i="15"/>
  <c r="E7" i="15"/>
  <c r="E6" i="15"/>
  <c r="E5" i="15"/>
  <c r="F4" i="15" l="1"/>
  <c r="F5" i="15"/>
  <c r="F17" i="15" s="1"/>
  <c r="E17" i="15" s="1"/>
  <c r="C28" i="14"/>
  <c r="C93" i="12" s="1"/>
  <c r="C384" i="12" s="1"/>
  <c r="C18" i="14"/>
  <c r="C92" i="12"/>
  <c r="D92" i="12" s="1"/>
  <c r="E92" i="12" s="1"/>
  <c r="F92" i="12" s="1"/>
  <c r="G92" i="12" s="1"/>
  <c r="H92" i="12" s="1"/>
  <c r="D27" i="14"/>
  <c r="J17" i="15"/>
  <c r="D94" i="12"/>
  <c r="E94" i="12" s="1"/>
  <c r="F94" i="12" s="1"/>
  <c r="G94" i="12" s="1"/>
  <c r="H94" i="12" s="1"/>
  <c r="K17" i="15"/>
  <c r="I5" i="15" l="1"/>
  <c r="B143" i="12"/>
  <c r="B162" i="12"/>
  <c r="C271" i="12" s="1"/>
  <c r="D93" i="12"/>
  <c r="E93" i="12" s="1"/>
  <c r="F93" i="12" s="1"/>
  <c r="G93" i="12" s="1"/>
  <c r="H93" i="12" s="1"/>
  <c r="H384" i="12" s="1"/>
  <c r="C383" i="12"/>
  <c r="D385" i="12"/>
  <c r="I6" i="15"/>
  <c r="G384" i="12" l="1"/>
  <c r="E384" i="12"/>
  <c r="D384" i="12"/>
  <c r="F384" i="12"/>
  <c r="E385" i="12"/>
  <c r="F385" i="12" l="1"/>
  <c r="B23" i="15"/>
  <c r="D18" i="15"/>
  <c r="F18" i="15" l="1"/>
  <c r="J18" i="15" s="1"/>
  <c r="E18" i="15"/>
  <c r="C26" i="14"/>
  <c r="C91" i="12" s="1"/>
  <c r="B25" i="15"/>
  <c r="C21" i="14" s="1"/>
  <c r="C25" i="14" s="1"/>
  <c r="C90" i="12" s="1"/>
  <c r="G385" i="12"/>
  <c r="H385" i="12"/>
  <c r="K18" i="15" l="1"/>
  <c r="C121" i="12"/>
  <c r="C122" i="12" s="1"/>
  <c r="C146" i="12" s="1"/>
  <c r="D90" i="12"/>
  <c r="E90" i="12" s="1"/>
  <c r="F90" i="12" s="1"/>
  <c r="G90" i="12" s="1"/>
  <c r="H90" i="12" s="1"/>
  <c r="C381" i="12"/>
  <c r="D91" i="12"/>
  <c r="E91" i="12" s="1"/>
  <c r="F91" i="12" s="1"/>
  <c r="G91" i="12" s="1"/>
  <c r="H91" i="12" s="1"/>
  <c r="C382" i="12"/>
  <c r="B26" i="15"/>
  <c r="B27" i="15" s="1"/>
  <c r="B34" i="15"/>
  <c r="B35" i="15"/>
  <c r="B32" i="15"/>
  <c r="B165" i="12"/>
  <c r="C145" i="12" l="1"/>
  <c r="B33" i="15"/>
  <c r="C73" i="12"/>
  <c r="D73" i="12" s="1"/>
  <c r="E73" i="12" s="1"/>
  <c r="F73" i="12" s="1"/>
  <c r="G73" i="12" s="1"/>
  <c r="H73" i="12" s="1"/>
  <c r="C163" i="12"/>
  <c r="C8" i="13" l="1"/>
  <c r="C10" i="13" s="1"/>
  <c r="C50" i="13" s="1"/>
  <c r="F14" i="13"/>
  <c r="C16" i="13" l="1"/>
  <c r="C21" i="13"/>
  <c r="C24" i="13"/>
  <c r="C28" i="13"/>
  <c r="C30" i="13"/>
  <c r="C32" i="13"/>
  <c r="C34" i="13"/>
  <c r="C36" i="13"/>
  <c r="C39" i="13"/>
  <c r="C41" i="13"/>
  <c r="C43" i="13"/>
  <c r="C45" i="13"/>
  <c r="C47" i="13"/>
  <c r="C49" i="13"/>
  <c r="C15" i="13"/>
  <c r="C17" i="13"/>
  <c r="C18" i="13"/>
  <c r="C19" i="13"/>
  <c r="C20" i="13"/>
  <c r="C22" i="13"/>
  <c r="C23" i="13"/>
  <c r="C25" i="13"/>
  <c r="C26" i="13"/>
  <c r="C27" i="13"/>
  <c r="C29" i="13"/>
  <c r="C31" i="13"/>
  <c r="C33" i="13"/>
  <c r="C35" i="13"/>
  <c r="C37" i="13"/>
  <c r="C38" i="13"/>
  <c r="C40" i="13"/>
  <c r="C42" i="13"/>
  <c r="C44" i="13"/>
  <c r="C46" i="13"/>
  <c r="C48" i="13"/>
  <c r="D15" i="13"/>
  <c r="G26" i="13"/>
  <c r="E15" i="13" l="1"/>
  <c r="F15" i="13" s="1"/>
  <c r="D16" i="13" l="1"/>
  <c r="E16" i="13" l="1"/>
  <c r="F16" i="13" s="1"/>
  <c r="D17" i="13" l="1"/>
  <c r="E17" i="13" l="1"/>
  <c r="F17" i="13" s="1"/>
  <c r="D18" i="13" l="1"/>
  <c r="E18" i="13" l="1"/>
  <c r="F18" i="13" s="1"/>
  <c r="D19" i="13" l="1"/>
  <c r="E19" i="13" s="1"/>
  <c r="F19" i="13" s="1"/>
  <c r="D20" i="13" l="1"/>
  <c r="E20" i="13" s="1"/>
  <c r="F20" i="13" s="1"/>
  <c r="D21" i="13" l="1"/>
  <c r="E21" i="13" s="1"/>
  <c r="F21" i="13" s="1"/>
  <c r="D22" i="13" l="1"/>
  <c r="E22" i="13" s="1"/>
  <c r="F22" i="13" s="1"/>
  <c r="D23" i="13" l="1"/>
  <c r="E23" i="13" s="1"/>
  <c r="F23" i="13" s="1"/>
  <c r="D24" i="13" l="1"/>
  <c r="E24" i="13" s="1"/>
  <c r="F24" i="13" s="1"/>
  <c r="D25" i="13" l="1"/>
  <c r="E25" i="13" s="1"/>
  <c r="F25" i="13" s="1"/>
  <c r="D26" i="13" l="1"/>
  <c r="E26" i="13" l="1"/>
  <c r="F26" i="13" s="1"/>
  <c r="C130" i="12"/>
  <c r="D27" i="13"/>
  <c r="E27" i="13" l="1"/>
  <c r="F27" i="13" s="1"/>
  <c r="D28" i="13"/>
  <c r="E28" i="13" s="1"/>
  <c r="F28" i="13" s="1"/>
  <c r="D29" i="13" l="1"/>
  <c r="E29" i="13" l="1"/>
  <c r="F29" i="13" s="1"/>
  <c r="D30" i="13" s="1"/>
  <c r="E30" i="13" s="1"/>
  <c r="F30" i="13" s="1"/>
  <c r="D31" i="13" l="1"/>
  <c r="E31" i="13" s="1"/>
  <c r="F31" i="13" s="1"/>
  <c r="D32" i="13" l="1"/>
  <c r="E32" i="13" s="1"/>
  <c r="F32" i="13" s="1"/>
  <c r="D33" i="13" l="1"/>
  <c r="E33" i="13" s="1"/>
  <c r="F33" i="13" s="1"/>
  <c r="D34" i="13" l="1"/>
  <c r="E34" i="13" s="1"/>
  <c r="F34" i="13" s="1"/>
  <c r="D35" i="13" l="1"/>
  <c r="E35" i="13" s="1"/>
  <c r="F35" i="13" s="1"/>
  <c r="D36" i="13" l="1"/>
  <c r="E36" i="13" s="1"/>
  <c r="F36" i="13" s="1"/>
  <c r="D37" i="13" l="1"/>
  <c r="E37" i="13" s="1"/>
  <c r="F37" i="13" s="1"/>
  <c r="D38" i="13" l="1"/>
  <c r="E38" i="13" l="1"/>
  <c r="F38" i="13" s="1"/>
  <c r="D130" i="12"/>
  <c r="D39" i="13"/>
  <c r="E39" i="13" l="1"/>
  <c r="F39" i="13" s="1"/>
  <c r="D40" i="13" l="1"/>
  <c r="E40" i="13" s="1"/>
  <c r="F40" i="13" s="1"/>
  <c r="D41" i="13"/>
  <c r="E41" i="13" l="1"/>
  <c r="F41" i="13" s="1"/>
  <c r="D42" i="13"/>
  <c r="E42" i="13" s="1"/>
  <c r="F42" i="13" s="1"/>
  <c r="D43" i="13" l="1"/>
  <c r="E43" i="13" l="1"/>
  <c r="F43" i="13" s="1"/>
  <c r="D44" i="13" s="1"/>
  <c r="E44" i="13" s="1"/>
  <c r="F44" i="13" s="1"/>
  <c r="D45" i="13" l="1"/>
  <c r="E45" i="13" l="1"/>
  <c r="F45" i="13" s="1"/>
  <c r="D46" i="13" s="1"/>
  <c r="E46" i="13" s="1"/>
  <c r="F46" i="13" s="1"/>
  <c r="D47" i="13" l="1"/>
  <c r="E47" i="13" l="1"/>
  <c r="F47" i="13" s="1"/>
  <c r="D48" i="13"/>
  <c r="E48" i="13" s="1"/>
  <c r="F48" i="13" s="1"/>
  <c r="D49" i="13" l="1"/>
  <c r="E49" i="13" s="1"/>
  <c r="F49" i="13" s="1"/>
  <c r="D50" i="13" l="1"/>
  <c r="C129" i="12"/>
  <c r="C125" i="12"/>
  <c r="E25" i="12"/>
  <c r="F25" i="12"/>
  <c r="G25" i="12"/>
  <c r="H25" i="12"/>
  <c r="D25" i="12"/>
  <c r="E50" i="13" l="1"/>
  <c r="F50" i="13" s="1"/>
  <c r="E130" i="12"/>
  <c r="C165" i="12"/>
  <c r="C360" i="12" s="1"/>
  <c r="C369" i="12" l="1"/>
  <c r="J46" i="12"/>
  <c r="J47" i="12" s="1"/>
  <c r="J34" i="12"/>
  <c r="J35" i="12" s="1"/>
  <c r="J16" i="12"/>
  <c r="J17" i="12" s="1"/>
  <c r="J9" i="12"/>
  <c r="J10" i="12" s="1"/>
  <c r="D42" i="12" l="1"/>
  <c r="D5" i="12"/>
  <c r="D10" i="12" s="1"/>
  <c r="E12" i="12"/>
  <c r="E17" i="12" s="1"/>
  <c r="F12" i="12"/>
  <c r="F17" i="12" s="1"/>
  <c r="G12" i="12"/>
  <c r="G17" i="12" s="1"/>
  <c r="H12" i="12"/>
  <c r="H17" i="12" s="1"/>
  <c r="D12" i="12"/>
  <c r="D17" i="12" s="1"/>
  <c r="B439" i="12"/>
  <c r="B418" i="12"/>
  <c r="C406" i="12"/>
  <c r="C403" i="12"/>
  <c r="H388" i="12"/>
  <c r="G388" i="12"/>
  <c r="F388" i="12"/>
  <c r="E388" i="12"/>
  <c r="D388" i="12"/>
  <c r="C388" i="12"/>
  <c r="H387" i="12"/>
  <c r="G387" i="12"/>
  <c r="F387" i="12"/>
  <c r="E387" i="12"/>
  <c r="D387" i="12"/>
  <c r="C387" i="12"/>
  <c r="H386" i="12"/>
  <c r="G386" i="12"/>
  <c r="F386" i="12"/>
  <c r="E386" i="12"/>
  <c r="D386" i="12"/>
  <c r="C386" i="12"/>
  <c r="H383" i="12"/>
  <c r="G383" i="12"/>
  <c r="F383" i="12"/>
  <c r="E383" i="12"/>
  <c r="D383" i="12"/>
  <c r="H382" i="12"/>
  <c r="G382" i="12"/>
  <c r="F382" i="12"/>
  <c r="E382" i="12"/>
  <c r="D382" i="12"/>
  <c r="H381" i="12"/>
  <c r="G381" i="12"/>
  <c r="F381" i="12"/>
  <c r="E381" i="12"/>
  <c r="D381" i="12"/>
  <c r="H378" i="12"/>
  <c r="G378" i="12"/>
  <c r="F378" i="12"/>
  <c r="E378" i="12"/>
  <c r="D378" i="12"/>
  <c r="C378" i="12"/>
  <c r="H377" i="12"/>
  <c r="G377" i="12"/>
  <c r="F377" i="12"/>
  <c r="E377" i="12"/>
  <c r="D377" i="12"/>
  <c r="C377" i="12"/>
  <c r="H376" i="12"/>
  <c r="G376" i="12"/>
  <c r="F376" i="12"/>
  <c r="E376" i="12"/>
  <c r="D376" i="12"/>
  <c r="C376" i="12"/>
  <c r="H375" i="12"/>
  <c r="G375" i="12"/>
  <c r="F375" i="12"/>
  <c r="E375" i="12"/>
  <c r="D375" i="12"/>
  <c r="C375" i="12"/>
  <c r="H371" i="12"/>
  <c r="G371" i="12"/>
  <c r="F371" i="12"/>
  <c r="E371" i="12"/>
  <c r="D371" i="12"/>
  <c r="C371" i="12"/>
  <c r="H370" i="12"/>
  <c r="G370" i="12"/>
  <c r="F370" i="12"/>
  <c r="E370" i="12"/>
  <c r="D370" i="12"/>
  <c r="C370" i="12"/>
  <c r="B360" i="12"/>
  <c r="C359" i="12"/>
  <c r="B359" i="12"/>
  <c r="C288" i="12"/>
  <c r="C287" i="12"/>
  <c r="C278" i="12"/>
  <c r="D271" i="12"/>
  <c r="C259" i="12"/>
  <c r="C6" i="14" s="1"/>
  <c r="C230" i="12"/>
  <c r="C226" i="12"/>
  <c r="C220" i="12"/>
  <c r="C404" i="12" s="1"/>
  <c r="C219" i="12"/>
  <c r="H216" i="12"/>
  <c r="G216" i="12"/>
  <c r="F216" i="12"/>
  <c r="E216" i="12"/>
  <c r="D216" i="12"/>
  <c r="C216" i="12"/>
  <c r="C211" i="12"/>
  <c r="H208" i="12"/>
  <c r="G208" i="12"/>
  <c r="F208" i="12"/>
  <c r="E208" i="12"/>
  <c r="D208" i="12"/>
  <c r="C208" i="12"/>
  <c r="H203" i="12"/>
  <c r="G203" i="12"/>
  <c r="F203" i="12"/>
  <c r="C203" i="12"/>
  <c r="C201" i="12"/>
  <c r="H200" i="12"/>
  <c r="G200" i="12"/>
  <c r="F200" i="12"/>
  <c r="E200" i="12"/>
  <c r="D200" i="12"/>
  <c r="C200" i="12"/>
  <c r="C199" i="12"/>
  <c r="C197" i="12"/>
  <c r="C196" i="12"/>
  <c r="C195" i="12"/>
  <c r="B179" i="12"/>
  <c r="D178" i="12"/>
  <c r="E178" i="12" s="1"/>
  <c r="F178" i="12" s="1"/>
  <c r="G178" i="12" s="1"/>
  <c r="H178" i="12" s="1"/>
  <c r="D176" i="12"/>
  <c r="C171" i="12"/>
  <c r="B171" i="12"/>
  <c r="D54" i="12"/>
  <c r="D368" i="12" s="1"/>
  <c r="C166" i="12"/>
  <c r="B166" i="12"/>
  <c r="D155" i="12"/>
  <c r="B153" i="12"/>
  <c r="B148" i="12"/>
  <c r="D147" i="12"/>
  <c r="H129" i="12"/>
  <c r="G129" i="12"/>
  <c r="F129" i="12"/>
  <c r="E129" i="12"/>
  <c r="D129" i="12"/>
  <c r="C54" i="12"/>
  <c r="C368" i="12" s="1"/>
  <c r="H42" i="12"/>
  <c r="H47" i="12" s="1"/>
  <c r="F42" i="12"/>
  <c r="F47" i="12" s="1"/>
  <c r="C35" i="12"/>
  <c r="D151" i="12" s="1"/>
  <c r="F151" i="12" l="1"/>
  <c r="G151" i="12" s="1"/>
  <c r="H151" i="12" s="1"/>
  <c r="C210" i="12"/>
  <c r="C72" i="12"/>
  <c r="D47" i="12"/>
  <c r="B422" i="12" s="1"/>
  <c r="C152" i="12"/>
  <c r="C380" i="12"/>
  <c r="C447" i="12" s="1"/>
  <c r="B156" i="12"/>
  <c r="B158" i="12" s="1"/>
  <c r="B457" i="12" s="1"/>
  <c r="D380" i="12"/>
  <c r="D447" i="12" s="1"/>
  <c r="H380" i="12"/>
  <c r="H447" i="12" s="1"/>
  <c r="E380" i="12"/>
  <c r="E447" i="12" s="1"/>
  <c r="F380" i="12"/>
  <c r="F447" i="12" s="1"/>
  <c r="G380" i="12"/>
  <c r="G447" i="12" s="1"/>
  <c r="C173" i="12"/>
  <c r="B173" i="12"/>
  <c r="B181" i="12" s="1"/>
  <c r="C53" i="12"/>
  <c r="C367" i="12" s="1"/>
  <c r="B361" i="12"/>
  <c r="C361" i="12"/>
  <c r="G42" i="12"/>
  <c r="E42" i="12"/>
  <c r="J23" i="12"/>
  <c r="J24" i="12" s="1"/>
  <c r="C217" i="12"/>
  <c r="C394" i="12" s="1"/>
  <c r="C209" i="12"/>
  <c r="C399" i="12" s="1"/>
  <c r="F209" i="12"/>
  <c r="F399" i="12" s="1"/>
  <c r="H209" i="12"/>
  <c r="H399" i="12" s="1"/>
  <c r="D197" i="12"/>
  <c r="E147" i="12"/>
  <c r="D211" i="12"/>
  <c r="E155" i="12"/>
  <c r="E203" i="12"/>
  <c r="D203" i="12"/>
  <c r="D171" i="12"/>
  <c r="E271" i="12"/>
  <c r="D395" i="12"/>
  <c r="D403" i="12"/>
  <c r="D219" i="12"/>
  <c r="E176" i="12"/>
  <c r="C398" i="12"/>
  <c r="D398" i="12"/>
  <c r="E398" i="12"/>
  <c r="F398" i="12"/>
  <c r="G398" i="12"/>
  <c r="H398" i="12"/>
  <c r="C395" i="12"/>
  <c r="B462" i="12" l="1"/>
  <c r="C4" i="14"/>
  <c r="B465" i="12"/>
  <c r="D217" i="12"/>
  <c r="D394" i="12" s="1"/>
  <c r="D396" i="12" s="1"/>
  <c r="D209" i="12"/>
  <c r="D399" i="12" s="1"/>
  <c r="D400" i="12" s="1"/>
  <c r="C358" i="12"/>
  <c r="E47" i="12"/>
  <c r="G47" i="12"/>
  <c r="G209" i="12" s="1"/>
  <c r="G399" i="12" s="1"/>
  <c r="G400" i="12" s="1"/>
  <c r="B183" i="12"/>
  <c r="C222" i="12"/>
  <c r="C400" i="12"/>
  <c r="G19" i="12"/>
  <c r="G24" i="12" s="1"/>
  <c r="H19" i="12"/>
  <c r="H24" i="12" s="1"/>
  <c r="E19" i="12"/>
  <c r="E24" i="12" s="1"/>
  <c r="D19" i="12"/>
  <c r="D24" i="12" s="1"/>
  <c r="F19" i="12"/>
  <c r="F24" i="12" s="1"/>
  <c r="H400" i="12"/>
  <c r="F400" i="12"/>
  <c r="E403" i="12"/>
  <c r="E219" i="12"/>
  <c r="F176" i="12"/>
  <c r="E395" i="12"/>
  <c r="E171" i="12"/>
  <c r="E211" i="12"/>
  <c r="F155" i="12"/>
  <c r="E197" i="12"/>
  <c r="F147" i="12"/>
  <c r="C396" i="12"/>
  <c r="H30" i="12"/>
  <c r="G30" i="12"/>
  <c r="F30" i="12"/>
  <c r="E30" i="12"/>
  <c r="D30" i="12"/>
  <c r="H5" i="12"/>
  <c r="H10" i="12" s="1"/>
  <c r="G5" i="12"/>
  <c r="G10" i="12" s="1"/>
  <c r="F5" i="12"/>
  <c r="F10" i="12" s="1"/>
  <c r="E5" i="12"/>
  <c r="E10" i="12" s="1"/>
  <c r="D121" i="12"/>
  <c r="E72" i="12" l="1"/>
  <c r="D72" i="12"/>
  <c r="D210" i="12"/>
  <c r="E210" i="12"/>
  <c r="D152" i="12"/>
  <c r="E152" i="12" s="1"/>
  <c r="F152" i="12" s="1"/>
  <c r="E209" i="12"/>
  <c r="E399" i="12" s="1"/>
  <c r="E400" i="12" s="1"/>
  <c r="E217" i="12"/>
  <c r="D369" i="12"/>
  <c r="D230" i="12"/>
  <c r="D145" i="12"/>
  <c r="D125" i="12"/>
  <c r="D122" i="12"/>
  <c r="E121" i="12"/>
  <c r="F197" i="12"/>
  <c r="G147" i="12"/>
  <c r="F211" i="12"/>
  <c r="G155" i="12"/>
  <c r="E54" i="12"/>
  <c r="E368" i="12" s="1"/>
  <c r="F395" i="12"/>
  <c r="F171" i="12"/>
  <c r="F130" i="12"/>
  <c r="F403" i="12"/>
  <c r="F219" i="12"/>
  <c r="G176" i="12"/>
  <c r="F210" i="12" l="1"/>
  <c r="F72" i="12"/>
  <c r="G72" i="12"/>
  <c r="G210" i="12"/>
  <c r="G152" i="12"/>
  <c r="H152" i="12" s="1"/>
  <c r="E369" i="12"/>
  <c r="B428" i="12"/>
  <c r="B438" i="12" s="1"/>
  <c r="G403" i="12"/>
  <c r="G219" i="12"/>
  <c r="H176" i="12"/>
  <c r="F217" i="12"/>
  <c r="F54" i="12"/>
  <c r="F368" i="12" s="1"/>
  <c r="G218" i="12"/>
  <c r="G395" i="12" s="1"/>
  <c r="G171" i="12"/>
  <c r="G130" i="12"/>
  <c r="E394" i="12"/>
  <c r="E396" i="12" s="1"/>
  <c r="G211" i="12"/>
  <c r="H155" i="12"/>
  <c r="H211" i="12" s="1"/>
  <c r="G197" i="12"/>
  <c r="H197" i="12"/>
  <c r="E230" i="12"/>
  <c r="E145" i="12"/>
  <c r="E125" i="12"/>
  <c r="E122" i="12"/>
  <c r="F121" i="12"/>
  <c r="D286" i="12"/>
  <c r="D163" i="12"/>
  <c r="D146" i="12"/>
  <c r="D359" i="12" s="1"/>
  <c r="D123" i="12"/>
  <c r="D287" i="12"/>
  <c r="D165" i="12"/>
  <c r="D278" i="12"/>
  <c r="D195" i="12"/>
  <c r="H72" i="12" l="1"/>
  <c r="H210" i="12"/>
  <c r="F369" i="12"/>
  <c r="D288" i="12"/>
  <c r="D201" i="12"/>
  <c r="D253" i="12"/>
  <c r="D279" i="12"/>
  <c r="D196" i="12"/>
  <c r="D360" i="12"/>
  <c r="D361" i="12" s="1"/>
  <c r="D280" i="12"/>
  <c r="D199" i="12"/>
  <c r="D166" i="12"/>
  <c r="D173" i="12" s="1"/>
  <c r="F230" i="12"/>
  <c r="F145" i="12"/>
  <c r="F125" i="12"/>
  <c r="F122" i="12"/>
  <c r="G121" i="12"/>
  <c r="E286" i="12"/>
  <c r="E163" i="12"/>
  <c r="E146" i="12"/>
  <c r="E359" i="12" s="1"/>
  <c r="E123" i="12"/>
  <c r="E287" i="12"/>
  <c r="E165" i="12"/>
  <c r="E278" i="12"/>
  <c r="E195" i="12"/>
  <c r="G217" i="12"/>
  <c r="G54" i="12"/>
  <c r="G368" i="12" s="1"/>
  <c r="H271" i="12"/>
  <c r="H218" i="12"/>
  <c r="H395" i="12" s="1"/>
  <c r="H171" i="12"/>
  <c r="H130" i="12"/>
  <c r="F394" i="12"/>
  <c r="F396" i="12" s="1"/>
  <c r="H403" i="12"/>
  <c r="H219" i="12"/>
  <c r="G369" i="12" l="1"/>
  <c r="H217" i="12"/>
  <c r="H54" i="12"/>
  <c r="H368" i="12" s="1"/>
  <c r="G394" i="12"/>
  <c r="G396" i="12" s="1"/>
  <c r="E288" i="12"/>
  <c r="E201" i="12"/>
  <c r="E253" i="12"/>
  <c r="E279" i="12"/>
  <c r="E196" i="12"/>
  <c r="E360" i="12"/>
  <c r="E361" i="12" s="1"/>
  <c r="E358" i="12" s="1"/>
  <c r="E280" i="12"/>
  <c r="E199" i="12"/>
  <c r="E166" i="12"/>
  <c r="E173" i="12" s="1"/>
  <c r="G230" i="12"/>
  <c r="G145" i="12"/>
  <c r="G125" i="12"/>
  <c r="G122" i="12"/>
  <c r="H121" i="12"/>
  <c r="F286" i="12"/>
  <c r="F163" i="12"/>
  <c r="F146" i="12"/>
  <c r="F359" i="12" s="1"/>
  <c r="F123" i="12"/>
  <c r="F287" i="12"/>
  <c r="F165" i="12"/>
  <c r="F278" i="12"/>
  <c r="F195" i="12"/>
  <c r="D358" i="12"/>
  <c r="D281" i="12"/>
  <c r="H369" i="12" l="1"/>
  <c r="F288" i="12"/>
  <c r="F201" i="12"/>
  <c r="F253" i="12"/>
  <c r="F279" i="12"/>
  <c r="F196" i="12"/>
  <c r="F360" i="12"/>
  <c r="F361" i="12" s="1"/>
  <c r="F358" i="12" s="1"/>
  <c r="F280" i="12"/>
  <c r="F199" i="12"/>
  <c r="F166" i="12"/>
  <c r="F173" i="12" s="1"/>
  <c r="H230" i="12"/>
  <c r="H145" i="12"/>
  <c r="H125" i="12"/>
  <c r="H122" i="12"/>
  <c r="G286" i="12"/>
  <c r="G163" i="12"/>
  <c r="G146" i="12"/>
  <c r="G359" i="12" s="1"/>
  <c r="G123" i="12"/>
  <c r="G287" i="12"/>
  <c r="G165" i="12"/>
  <c r="G278" i="12"/>
  <c r="G195" i="12"/>
  <c r="E281" i="12"/>
  <c r="H394" i="12"/>
  <c r="H396" i="12" s="1"/>
  <c r="G288" i="12" l="1"/>
  <c r="G201" i="12"/>
  <c r="G253" i="12"/>
  <c r="G279" i="12"/>
  <c r="G196" i="12"/>
  <c r="G360" i="12"/>
  <c r="G361" i="12" s="1"/>
  <c r="G358" i="12" s="1"/>
  <c r="G280" i="12"/>
  <c r="G199" i="12"/>
  <c r="G166" i="12"/>
  <c r="G173" i="12" s="1"/>
  <c r="H286" i="12"/>
  <c r="H163" i="12"/>
  <c r="H146" i="12"/>
  <c r="H359" i="12" s="1"/>
  <c r="H123" i="12"/>
  <c r="H287" i="12"/>
  <c r="H165" i="12"/>
  <c r="H278" i="12"/>
  <c r="H195" i="12"/>
  <c r="F281" i="12"/>
  <c r="H288" i="12" l="1"/>
  <c r="H201" i="12"/>
  <c r="H253" i="12"/>
  <c r="H279" i="12"/>
  <c r="H196" i="12"/>
  <c r="H360" i="12"/>
  <c r="H361" i="12" s="1"/>
  <c r="H358" i="12" s="1"/>
  <c r="H280" i="12"/>
  <c r="H199" i="12"/>
  <c r="H166" i="12"/>
  <c r="H173" i="12" s="1"/>
  <c r="G281" i="12"/>
  <c r="H281" i="12" l="1"/>
  <c r="B11" i="10" l="1"/>
  <c r="A11" i="10"/>
  <c r="C123" i="12" l="1"/>
  <c r="C279" i="12"/>
  <c r="C280" i="12"/>
  <c r="C286" i="12"/>
  <c r="C281" i="12" l="1"/>
  <c r="C374" i="12"/>
  <c r="C373" i="12" s="1"/>
  <c r="C446" i="12" s="1"/>
  <c r="C126" i="12" l="1"/>
  <c r="C153" i="12"/>
  <c r="C192" i="12"/>
  <c r="C127" i="12"/>
  <c r="C357" i="12"/>
  <c r="D374" i="12"/>
  <c r="D373" i="12" s="1"/>
  <c r="D446" i="12" s="1"/>
  <c r="C156" i="12" l="1"/>
  <c r="C191" i="12"/>
  <c r="C205" i="12" s="1"/>
  <c r="C269" i="12"/>
  <c r="C131" i="12"/>
  <c r="C247" i="12"/>
  <c r="C356" i="12"/>
  <c r="C248" i="12"/>
  <c r="C362" i="12" l="1"/>
  <c r="C213" i="12"/>
  <c r="C224" i="12" s="1"/>
  <c r="C228" i="12" s="1"/>
  <c r="C363" i="12"/>
  <c r="C412" i="12" s="1"/>
  <c r="C462" i="12" s="1"/>
  <c r="D153" i="12"/>
  <c r="D126" i="12"/>
  <c r="E374" i="12"/>
  <c r="E373" i="12" s="1"/>
  <c r="E446" i="12" s="1"/>
  <c r="C133" i="12"/>
  <c r="C134" i="12" s="1"/>
  <c r="C465" i="12" l="1"/>
  <c r="C443" i="12"/>
  <c r="C143" i="12"/>
  <c r="C283" i="12" s="1"/>
  <c r="C232" i="12"/>
  <c r="D226" i="12"/>
  <c r="C402" i="12"/>
  <c r="C405" i="12" s="1"/>
  <c r="C407" i="12" s="1"/>
  <c r="D156" i="12"/>
  <c r="E126" i="12"/>
  <c r="E153" i="12"/>
  <c r="D192" i="12"/>
  <c r="D357" i="12"/>
  <c r="D127" i="12"/>
  <c r="F374" i="12"/>
  <c r="F373" i="12" s="1"/>
  <c r="F446" i="12" s="1"/>
  <c r="F126" i="12"/>
  <c r="C177" i="12"/>
  <c r="C251" i="12"/>
  <c r="C263" i="12" s="1"/>
  <c r="D135" i="12"/>
  <c r="D220" i="12" s="1"/>
  <c r="C268" i="12"/>
  <c r="C52" i="12"/>
  <c r="C366" i="12" s="1"/>
  <c r="C365" i="12" s="1"/>
  <c r="C408" i="12" l="1"/>
  <c r="C148" i="12"/>
  <c r="C242" i="12" s="1"/>
  <c r="D406" i="12"/>
  <c r="D213" i="12"/>
  <c r="D362" i="12"/>
  <c r="E156" i="12"/>
  <c r="G126" i="12"/>
  <c r="F192" i="12"/>
  <c r="F127" i="12"/>
  <c r="F357" i="12"/>
  <c r="D248" i="12"/>
  <c r="D356" i="12"/>
  <c r="D252" i="12"/>
  <c r="D259" i="12" s="1"/>
  <c r="D131" i="12"/>
  <c r="D133" i="12" s="1"/>
  <c r="D247" i="12"/>
  <c r="D269" i="12"/>
  <c r="D191" i="12"/>
  <c r="D205" i="12" s="1"/>
  <c r="E192" i="12"/>
  <c r="E127" i="12"/>
  <c r="E357" i="12"/>
  <c r="F153" i="12"/>
  <c r="C158" i="12"/>
  <c r="C241" i="12"/>
  <c r="D53" i="12"/>
  <c r="D367" i="12" s="1"/>
  <c r="D404" i="12"/>
  <c r="D222" i="12"/>
  <c r="C445" i="12"/>
  <c r="C448" i="12" s="1"/>
  <c r="C450" i="12" s="1"/>
  <c r="C390" i="12"/>
  <c r="C179" i="12"/>
  <c r="D363" i="12" l="1"/>
  <c r="D402" i="12" s="1"/>
  <c r="D405" i="12" s="1"/>
  <c r="D407" i="12" s="1"/>
  <c r="E406" i="12" s="1"/>
  <c r="E362" i="12"/>
  <c r="E213" i="12"/>
  <c r="F156" i="12"/>
  <c r="G374" i="12"/>
  <c r="G373" i="12" s="1"/>
  <c r="G446" i="12" s="1"/>
  <c r="D224" i="12"/>
  <c r="D228" i="12" s="1"/>
  <c r="D143" i="12" s="1"/>
  <c r="E248" i="12"/>
  <c r="E247" i="12"/>
  <c r="E356" i="12"/>
  <c r="E252" i="12"/>
  <c r="E259" i="12" s="1"/>
  <c r="E131" i="12"/>
  <c r="E269" i="12"/>
  <c r="E191" i="12"/>
  <c r="E205" i="12" s="1"/>
  <c r="G127" i="12"/>
  <c r="G357" i="12"/>
  <c r="G192" i="12"/>
  <c r="D134" i="12"/>
  <c r="D52" i="12"/>
  <c r="D366" i="12" s="1"/>
  <c r="D365" i="12" s="1"/>
  <c r="D445" i="12" s="1"/>
  <c r="D448" i="12" s="1"/>
  <c r="D268" i="12"/>
  <c r="H374" i="12"/>
  <c r="H373" i="12" s="1"/>
  <c r="H446" i="12" s="1"/>
  <c r="H126" i="12"/>
  <c r="F248" i="12"/>
  <c r="F247" i="12"/>
  <c r="F191" i="12"/>
  <c r="F205" i="12" s="1"/>
  <c r="F131" i="12"/>
  <c r="F269" i="12"/>
  <c r="F356" i="12"/>
  <c r="F252" i="12"/>
  <c r="F259" i="12" s="1"/>
  <c r="G153" i="12"/>
  <c r="C246" i="12"/>
  <c r="C181" i="12"/>
  <c r="C183" i="12" s="1"/>
  <c r="C272" i="12"/>
  <c r="C273" i="12" s="1"/>
  <c r="C275" i="12" s="1"/>
  <c r="C291" i="12"/>
  <c r="C391" i="12"/>
  <c r="C265" i="12"/>
  <c r="C260" i="12"/>
  <c r="C245" i="12"/>
  <c r="D443" i="12" l="1"/>
  <c r="D450" i="12" s="1"/>
  <c r="D390" i="12"/>
  <c r="D291" i="12" s="1"/>
  <c r="D412" i="12"/>
  <c r="D462" i="12" s="1"/>
  <c r="E363" i="12"/>
  <c r="E402" i="12" s="1"/>
  <c r="F362" i="12"/>
  <c r="F363" i="12" s="1"/>
  <c r="F213" i="12"/>
  <c r="G156" i="12"/>
  <c r="E226" i="12"/>
  <c r="D232" i="12"/>
  <c r="H127" i="12"/>
  <c r="H357" i="12"/>
  <c r="H192" i="12"/>
  <c r="H153" i="12"/>
  <c r="E135" i="12"/>
  <c r="E220" i="12" s="1"/>
  <c r="D251" i="12"/>
  <c r="D263" i="12" s="1"/>
  <c r="D177" i="12"/>
  <c r="E133" i="12"/>
  <c r="E134" i="12" s="1"/>
  <c r="F133" i="12"/>
  <c r="F134" i="12" s="1"/>
  <c r="G191" i="12"/>
  <c r="G205" i="12" s="1"/>
  <c r="G252" i="12"/>
  <c r="G259" i="12" s="1"/>
  <c r="G248" i="12"/>
  <c r="G247" i="12"/>
  <c r="G269" i="12"/>
  <c r="G131" i="12"/>
  <c r="G133" i="12" s="1"/>
  <c r="G268" i="12" s="1"/>
  <c r="G356" i="12"/>
  <c r="D391" i="12"/>
  <c r="D148" i="12"/>
  <c r="D283" i="12"/>
  <c r="D408" i="12"/>
  <c r="C261" i="12"/>
  <c r="C264" i="12"/>
  <c r="C266" i="12" s="1"/>
  <c r="D465" i="12" l="1"/>
  <c r="E412" i="12"/>
  <c r="E462" i="12" s="1"/>
  <c r="E443" i="12"/>
  <c r="F443" i="12"/>
  <c r="F402" i="12"/>
  <c r="F412" i="12"/>
  <c r="F462" i="12" s="1"/>
  <c r="H156" i="12"/>
  <c r="G362" i="12"/>
  <c r="G363" i="12" s="1"/>
  <c r="G213" i="12"/>
  <c r="G52" i="12"/>
  <c r="G366" i="12" s="1"/>
  <c r="G135" i="12"/>
  <c r="G220" i="12" s="1"/>
  <c r="F251" i="12"/>
  <c r="F263" i="12" s="1"/>
  <c r="D179" i="12"/>
  <c r="E177" i="12"/>
  <c r="H248" i="12"/>
  <c r="H356" i="12"/>
  <c r="H247" i="12"/>
  <c r="H191" i="12"/>
  <c r="H205" i="12" s="1"/>
  <c r="H252" i="12"/>
  <c r="H259" i="12" s="1"/>
  <c r="C7" i="14" s="1"/>
  <c r="H269" i="12"/>
  <c r="H131" i="12"/>
  <c r="H133" i="12" s="1"/>
  <c r="H134" i="12" s="1"/>
  <c r="H251" i="12" s="1"/>
  <c r="H263" i="12" s="1"/>
  <c r="F268" i="12"/>
  <c r="F52" i="12"/>
  <c r="F366" i="12" s="1"/>
  <c r="E251" i="12"/>
  <c r="E263" i="12" s="1"/>
  <c r="F135" i="12"/>
  <c r="F220" i="12" s="1"/>
  <c r="E222" i="12"/>
  <c r="E224" i="12" s="1"/>
  <c r="E228" i="12" s="1"/>
  <c r="E404" i="12"/>
  <c r="E405" i="12" s="1"/>
  <c r="E407" i="12" s="1"/>
  <c r="F406" i="12" s="1"/>
  <c r="E53" i="12"/>
  <c r="E367" i="12" s="1"/>
  <c r="G134" i="12"/>
  <c r="H135" i="12" s="1"/>
  <c r="H220" i="12" s="1"/>
  <c r="E268" i="12"/>
  <c r="E52" i="12"/>
  <c r="E366" i="12" s="1"/>
  <c r="D242" i="12"/>
  <c r="D158" i="12"/>
  <c r="D241" i="12"/>
  <c r="E465" i="12" l="1"/>
  <c r="F465" i="12"/>
  <c r="G412" i="12"/>
  <c r="G462" i="12" s="1"/>
  <c r="G443" i="12"/>
  <c r="G402" i="12"/>
  <c r="H362" i="12"/>
  <c r="H363" i="12" s="1"/>
  <c r="H213" i="12"/>
  <c r="G251" i="12"/>
  <c r="G263" i="12" s="1"/>
  <c r="H268" i="12"/>
  <c r="H52" i="12"/>
  <c r="H366" i="12" s="1"/>
  <c r="E143" i="12"/>
  <c r="E148" i="12" s="1"/>
  <c r="F226" i="12"/>
  <c r="E232" i="12"/>
  <c r="F53" i="12"/>
  <c r="F367" i="12" s="1"/>
  <c r="F365" i="12" s="1"/>
  <c r="F222" i="12"/>
  <c r="F224" i="12" s="1"/>
  <c r="F404" i="12"/>
  <c r="F405" i="12" s="1"/>
  <c r="F407" i="12" s="1"/>
  <c r="G53" i="12"/>
  <c r="G367" i="12" s="1"/>
  <c r="G365" i="12" s="1"/>
  <c r="G222" i="12"/>
  <c r="G224" i="12" s="1"/>
  <c r="G404" i="12"/>
  <c r="C9" i="14"/>
  <c r="F177" i="12"/>
  <c r="E179" i="12"/>
  <c r="E365" i="12"/>
  <c r="D272" i="12"/>
  <c r="D273" i="12" s="1"/>
  <c r="D275" i="12" s="1"/>
  <c r="D246" i="12"/>
  <c r="D181" i="12"/>
  <c r="D183" i="12" s="1"/>
  <c r="D256" i="12"/>
  <c r="D245" i="12"/>
  <c r="D265" i="12"/>
  <c r="D260" i="12"/>
  <c r="D255" i="12"/>
  <c r="H404" i="12"/>
  <c r="H53" i="12"/>
  <c r="H367" i="12" s="1"/>
  <c r="H222" i="12"/>
  <c r="B466" i="12" l="1"/>
  <c r="B467" i="12"/>
  <c r="H402" i="12"/>
  <c r="H405" i="12" s="1"/>
  <c r="H410" i="12"/>
  <c r="I410" i="12" s="1"/>
  <c r="G465" i="12"/>
  <c r="H365" i="12"/>
  <c r="H390" i="12" s="1"/>
  <c r="H224" i="12"/>
  <c r="G405" i="12"/>
  <c r="H443" i="12"/>
  <c r="E390" i="12"/>
  <c r="E445" i="12"/>
  <c r="E448" i="12" s="1"/>
  <c r="E450" i="12" s="1"/>
  <c r="G406" i="12"/>
  <c r="E272" i="12"/>
  <c r="E273" i="12" s="1"/>
  <c r="E275" i="12" s="1"/>
  <c r="E181" i="12"/>
  <c r="E246" i="12"/>
  <c r="E256" i="12"/>
  <c r="F228" i="12"/>
  <c r="E408" i="12"/>
  <c r="E283" i="12"/>
  <c r="G177" i="12"/>
  <c r="F179" i="12"/>
  <c r="G445" i="12"/>
  <c r="G448" i="12" s="1"/>
  <c r="G450" i="12" s="1"/>
  <c r="G390" i="12"/>
  <c r="F390" i="12"/>
  <c r="F445" i="12"/>
  <c r="F448" i="12" s="1"/>
  <c r="F450" i="12" s="1"/>
  <c r="D264" i="12"/>
  <c r="D266" i="12" s="1"/>
  <c r="D261" i="12"/>
  <c r="C11" i="14" l="1"/>
  <c r="H412" i="12"/>
  <c r="H462" i="12" s="1"/>
  <c r="B463" i="12" s="1"/>
  <c r="C8" i="14" s="1"/>
  <c r="H445" i="12"/>
  <c r="H448" i="12" s="1"/>
  <c r="H450" i="12" s="1"/>
  <c r="G407" i="12"/>
  <c r="H406" i="12" s="1"/>
  <c r="H407" i="12" s="1"/>
  <c r="G291" i="12"/>
  <c r="G391" i="12"/>
  <c r="E391" i="12"/>
  <c r="E291" i="12"/>
  <c r="F272" i="12"/>
  <c r="F246" i="12"/>
  <c r="F256" i="12"/>
  <c r="F181" i="12"/>
  <c r="E241" i="12"/>
  <c r="E242" i="12"/>
  <c r="E158" i="12"/>
  <c r="E183" i="12" s="1"/>
  <c r="F391" i="12"/>
  <c r="F291" i="12"/>
  <c r="G179" i="12"/>
  <c r="H177" i="12"/>
  <c r="H179" i="12" s="1"/>
  <c r="F143" i="12"/>
  <c r="F148" i="12" s="1"/>
  <c r="G226" i="12"/>
  <c r="G228" i="12" s="1"/>
  <c r="F232" i="12"/>
  <c r="H291" i="12"/>
  <c r="H391" i="12"/>
  <c r="B453" i="12" l="1"/>
  <c r="B459" i="12" s="1"/>
  <c r="H465" i="12"/>
  <c r="B454" i="12"/>
  <c r="F273" i="12"/>
  <c r="F275" i="12" s="1"/>
  <c r="G181" i="12"/>
  <c r="G256" i="12"/>
  <c r="G272" i="12"/>
  <c r="G246" i="12"/>
  <c r="G143" i="12"/>
  <c r="G148" i="12" s="1"/>
  <c r="G232" i="12"/>
  <c r="H226" i="12"/>
  <c r="H228" i="12" s="1"/>
  <c r="F283" i="12"/>
  <c r="F408" i="12"/>
  <c r="H256" i="12"/>
  <c r="H272" i="12"/>
  <c r="H181" i="12"/>
  <c r="H246" i="12"/>
  <c r="E260" i="12"/>
  <c r="E255" i="12"/>
  <c r="E265" i="12"/>
  <c r="E245" i="12"/>
  <c r="B455" i="12" l="1"/>
  <c r="B460" i="12" s="1"/>
  <c r="G273" i="12"/>
  <c r="G275" i="12" s="1"/>
  <c r="H273" i="12"/>
  <c r="H275" i="12" s="1"/>
  <c r="E264" i="12"/>
  <c r="E266" i="12" s="1"/>
  <c r="E261" i="12"/>
  <c r="H232" i="12"/>
  <c r="H143" i="12"/>
  <c r="H148" i="12" s="1"/>
  <c r="F158" i="12"/>
  <c r="F183" i="12" s="1"/>
  <c r="F241" i="12"/>
  <c r="F242" i="12"/>
  <c r="G408" i="12"/>
  <c r="G283" i="12"/>
  <c r="G241" i="12" l="1"/>
  <c r="G158" i="12"/>
  <c r="G183" i="12" s="1"/>
  <c r="G242" i="12"/>
  <c r="F265" i="12"/>
  <c r="F260" i="12"/>
  <c r="F245" i="12"/>
  <c r="F255" i="12"/>
  <c r="H283" i="12"/>
  <c r="H408" i="12"/>
  <c r="F264" i="12" l="1"/>
  <c r="F266" i="12" s="1"/>
  <c r="F261" i="12"/>
  <c r="H158" i="12"/>
  <c r="H183" i="12" s="1"/>
  <c r="H241" i="12"/>
  <c r="H242" i="12"/>
  <c r="G245" i="12"/>
  <c r="G265" i="12"/>
  <c r="G260" i="12"/>
  <c r="G255" i="12"/>
  <c r="H265" i="12" l="1"/>
  <c r="H260" i="12"/>
  <c r="H255" i="12"/>
  <c r="H245" i="12"/>
  <c r="G264" i="12"/>
  <c r="G266" i="12" s="1"/>
  <c r="G261" i="12"/>
  <c r="H264" i="12" l="1"/>
  <c r="H266" i="12" s="1"/>
  <c r="H26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tc={726E74DC-275C-44D8-90B8-2C7234FB9C30}</author>
    <author>tc={3AF08753-DAA6-49D0-A3D6-B177D4C894AF}</author>
    <author>tc={05262BFB-56F7-431A-83BE-9357431CB5AE}</author>
    <author>tc={C4C8D19B-1E33-4C26-80D1-65878A3313FE}</author>
    <author>tc={18D910FB-4D63-41AD-A0BC-7BBDFABA9572}</author>
    <author>tc={671C1038-E1C4-405D-BC28-40FB8B2DF40A}</author>
    <author>tc={6F2A006A-F0E9-496F-B407-CE157A5924B3}</author>
    <author>tc={671C1038-E1C4-405E-BC28-40FB8B2DF40A}</author>
    <author>tc={6F2A006A-F0E9-4970-B407-CE157A5924B3}</author>
    <author>tc={4C855399-869E-479A-8347-A65F8AD993A8}</author>
    <author>tc={9F58E062-6CE8-40E4-942E-583B842C50BC}</author>
    <author>tc={F3A8FD57-381B-4ECF-BA9D-96D0CCBFC9A7}</author>
    <author>tc={7992A410-6472-4116-9C1D-D8E8E22C9B7D}</author>
    <author>tc={14FF35D1-0865-45E4-A73F-72C7B6C4CB6F}</author>
    <author>tc={F3A8FD57-381B-4ED0-BA9D-96D0CCBFC9A7}</author>
    <author>tc={7992A410-6472-4117-9C1D-D8E8E22C9B7D}</author>
    <author>tc={14FF35D1-0865-45E5-A73F-72C7B6C4CB6F}</author>
    <author>tc={40D1CC19-39DB-4810-A30B-950BD146275C}</author>
    <author>tc={64A7BC5F-68F9-4390-B1DF-F8C9831A343F}</author>
    <author>tc={7799F7CB-BB27-4C62-AB00-406B2C185C2B}</author>
    <author>tc={192C4ADD-BA99-4108-B64E-E417115CE0E0}</author>
    <author>tc={BD59FDCF-16D2-496B-B506-68CC443286D5}</author>
    <author>tc={D0E38148-AEF0-430E-9C95-D3E1707A4A3D}</author>
    <author>tc={9E14ADFA-E76A-450B-B8AF-8F40ECBC60AC}</author>
    <author>tc={E93F19E0-2F87-41B7-8DF8-6B05B3D7228C}</author>
    <author>tc={367E4A2D-A43C-48A4-8819-E10254F034A1}</author>
    <author>tc={B00D4652-B0F7-40A8-8895-869F7E4B5A04}</author>
    <author>tc={895DCC55-C805-47B0-A52D-8ACC790B21D9}</author>
    <author>tc={E3E56863-29A8-45C9-AE1F-375672DB9C55}</author>
    <author>tc={FC9D137D-83A7-49AC-A0D5-2296B422A39F}</author>
    <author>tc={06FEBCD0-414B-46A1-B843-3F25C83899AB}</author>
    <author>tc={7C5E0464-4BD1-4758-B2AE-48D9B62979BA}</author>
    <author>tc={069D10F2-02A3-4D6F-80C5-B28DD22E7A0C}</author>
    <author>tc={C44DA6DB-72AA-45DD-9819-95D79362D390}</author>
    <author>tc={0511B3EC-16D6-4288-A45F-D55A2DA5C77B}</author>
    <author>tc={E111382A-DAA2-4053-B74C-3D380F64A748}</author>
    <author>tc={36A9B1B5-5950-499D-866E-B9E5EE38B4B6}</author>
    <author>tc={C8AEC9FD-B1B2-4D6B-ABD3-A0800C536EF3}</author>
    <author>tc={41D4E7B5-F7AF-452F-B70A-079441E65CDA}</author>
    <author>tc={31D30293-B587-44B9-B916-FF775CF02568}</author>
    <author>tc={671C1038-E1C4-405F-BC28-40FB8B2DF40A}</author>
    <author>tc={6F2A006A-F0E9-4971-B407-CE157A5924B3}</author>
    <author>tc={F3A8FD57-381B-4ED1-BA9D-96D0CCBFC9A7}</author>
    <author>tc={7992A410-6472-4118-9C1D-D8E8E22C9B7D}</author>
    <author>tc={14FF35D1-0865-45E6-A73F-72C7B6C4CB6F}</author>
    <author>tc={3CD1351A-9475-4963-A9F0-5E450C125BB0}</author>
    <author>tc={5485D694-2055-4EC1-A387-D39E6C6D238C}</author>
    <author>tc={B707CBE0-8EC8-4CA7-A214-B1390E28B88C}</author>
    <author>tc={A312C5AC-1228-4963-940F-7873634C79A2}</author>
    <author>tc={5C3D835D-FBDC-4E3F-863B-BE15692D6449}</author>
  </authors>
  <commentList>
    <comment ref="A52" authorId="0" shapeId="0" xr:uid="{726E74DC-275C-44D8-90B8-2C7234FB9C3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Contribución a la economía por medio de impuestos (dinamismo) </t>
        </r>
      </text>
    </comment>
    <comment ref="A53" authorId="1" shapeId="0" xr:uid="{3AF08753-DAA6-49D0-A3D6-B177D4C894AF}">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Contribución al bienestar de la compañía y social visto como retorno a los inversionistas</t>
        </r>
      </text>
    </comment>
    <comment ref="A54" authorId="2" shapeId="0" xr:uid="{05262BFB-56F7-431A-83BE-9357431CB5AE}">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Contribución al bienestar de los servicios financieros </t>
        </r>
      </text>
    </comment>
    <comment ref="A55" authorId="3" shapeId="0" xr:uid="{C4C8D19B-1E33-4C26-80D1-65878A3313FE}">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Ingresos que se traducen en consumo y dinamismo en la economía. </t>
        </r>
      </text>
    </comment>
    <comment ref="A72" authorId="4" shapeId="0" xr:uid="{18D910FB-4D63-41AD-A0BC-7BBDFABA9572}">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Provisión de infraestructura (vías, generación de energía) que mejora la calidad de vida y aumenta las oportunidades</t>
        </r>
      </text>
    </comment>
    <comment ref="A73" authorId="5" shapeId="0" xr:uid="{671C1038-E1C4-405D-BC28-40FB8B2DF40A}">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Brinda servicios de salud, campañas de bienestar que genera valor por medio de mejorar la calidad de vida. </t>
        </r>
      </text>
    </comment>
    <comment ref="A74" authorId="6" shapeId="0" xr:uid="{6F2A006A-F0E9-496F-B407-CE157A5924B3}">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Provisión de educación y capacitaciones </t>
        </r>
      </text>
    </comment>
    <comment ref="A77" authorId="7" shapeId="0" xr:uid="{E3A82E3D-C0CE-4A24-B439-FB922FF7F9E2}">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Brinda servicios de salud, campañas de bienestar que genera valor por medio de mejorar la calidad de vida. </t>
        </r>
      </text>
    </comment>
    <comment ref="A78" authorId="8" shapeId="0" xr:uid="{8F4EE0CE-C55B-4801-A4CA-B3E8F48475E6}">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Provisión de educación y capacitaciones </t>
        </r>
      </text>
    </comment>
    <comment ref="A81" authorId="9" shapeId="0" xr:uid="{4C855399-869E-479A-8347-A65F8AD993A8}">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Daños a la salud ocasionados por bajas inversiones en la seguridad de la salud </t>
        </r>
      </text>
    </comment>
    <comment ref="A82" authorId="10" shapeId="0" xr:uid="{9F58E062-6CE8-40E4-942E-583B842C50BC}">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Daño a la salud de los trabajadores por medio de la contaminación del aire, agua y sonidos </t>
        </r>
      </text>
    </comment>
    <comment ref="A90" authorId="11" shapeId="0" xr:uid="{F3A8FD57-381B-4ECF-BA9D-96D0CCBFC9A7}">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Reducción del uso de energía carbono intensiva y ahorro de emisiones de gases GHG por medio de generación de energía renovable. </t>
        </r>
      </text>
    </comment>
    <comment ref="A91" authorId="12" shapeId="0" xr:uid="{7992A410-6472-4116-9C1D-D8E8E22C9B7D}">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Prácticas regenerativas que mejoran los ecosistemas </t>
        </r>
      </text>
    </comment>
    <comment ref="A92" authorId="13" shapeId="0" xr:uid="{14FF35D1-0865-45E4-A73F-72C7B6C4CB6F}">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Uso de los residuos</t>
        </r>
      </text>
    </comment>
    <comment ref="A96" authorId="14" shapeId="0" xr:uid="{2DE2C845-EC6C-47F3-A0F0-B76682919401}">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Reducción del uso de energía carbono intensiva y ahorro de emisiones de gases GHG por medio de generación de energía renovable. </t>
        </r>
      </text>
    </comment>
    <comment ref="A97" authorId="15" shapeId="0" xr:uid="{34F960DF-EC77-49FE-B52C-2A2E6FEF25BF}">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Prácticas regenerativas que mejoran los ecosistemas </t>
        </r>
      </text>
    </comment>
    <comment ref="A98" authorId="16" shapeId="0" xr:uid="{9A011F84-47C8-45A6-935F-BE92099DEB01}">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Uso de los residuos</t>
        </r>
      </text>
    </comment>
    <comment ref="A103" authorId="17" shapeId="0" xr:uid="{40D1CC19-39DB-4810-A30B-950BD146275C}">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Daño ambiental ocasionado por residuos gaseosos, líquidos y sólidos.</t>
        </r>
      </text>
    </comment>
    <comment ref="A104" authorId="18" shapeId="0" xr:uid="{64A7BC5F-68F9-4390-B1DF-F8C9831A343F}">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Degradación de los servicios ecosistémicos. </t>
        </r>
      </text>
    </comment>
    <comment ref="A105" authorId="19" shapeId="0" xr:uid="{7799F7CB-BB27-4C62-AB00-406B2C185C2B}">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Contribución al cambio climático y costos a la sociedad por emisión de emisiones GHG </t>
        </r>
      </text>
    </comment>
    <comment ref="A106" authorId="20" shapeId="0" xr:uid="{192C4ADD-BA99-4108-B64E-E417115CE0E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Daño a los ecosistemas y comunidades por uso de agua en áreas donde esta es escasa. </t>
        </r>
      </text>
    </comment>
    <comment ref="A107" authorId="21" shapeId="0" xr:uid="{BD59FDCF-16D2-496B-B506-68CC443286D5}">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Uso de materias primas en el proceso de producción que ocasionen daño ambiental o escasez de recursos. </t>
        </r>
      </text>
    </comment>
    <comment ref="A299" authorId="22" shapeId="0" xr:uid="{D0E38148-AEF0-430E-9C95-D3E1707A4A3D}">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En volumen.</t>
        </r>
      </text>
    </comment>
    <comment ref="A302" authorId="23" shapeId="0" xr:uid="{9E14ADFA-E76A-450B-B8AF-8F40ECBC60AC}">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KwH de energía renovable / Total de KwH de Energía Consumida</t>
        </r>
      </text>
    </comment>
    <comment ref="A303" authorId="24" shapeId="0" xr:uid="{E93F19E0-2F87-41B7-8DF8-6B05B3D7228C}">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Inversiones en energías renovables / Total de Inversiones realizadas por la empresa</t>
        </r>
      </text>
    </comment>
    <comment ref="A309" authorId="25" shapeId="0" xr:uid="{367E4A2D-A43C-48A4-8819-E10254F034A1}">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En Volumen.</t>
        </r>
      </text>
    </comment>
    <comment ref="A312" authorId="26" shapeId="0" xr:uid="{B00D4652-B0F7-40A8-8895-869F7E4B5A04}">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Residuos Relacionados a la Producción / Número de Unidades Producidas</t>
        </r>
      </text>
    </comment>
    <comment ref="A313" authorId="27" shapeId="0" xr:uid="{895DCC55-C805-47B0-A52D-8ACC790B21D9}">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Residuos Reciclados / Total de Residuos</t>
        </r>
      </text>
    </comment>
    <comment ref="A316" authorId="28" shapeId="0" xr:uid="{E3E56863-29A8-45C9-AE1F-375672DB9C55}">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Unidad de Material Recuperado / Total de Material Utilizado</t>
        </r>
      </text>
    </comment>
    <comment ref="A320" authorId="29" shapeId="0" xr:uid="{FC9D137D-83A7-49AC-A0D5-2296B422A39F}">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Empleados que dejan la compañia / Total de empleados</t>
        </r>
      </text>
    </comment>
    <comment ref="A323" authorId="30" shapeId="0" xr:uid="{06FEBCD0-414B-46A1-B843-3F25C83899AB}">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Empleados entrenados / Total de empleados</t>
        </r>
      </text>
    </comment>
    <comment ref="A327" authorId="31" shapeId="0" xr:uid="{7C5E0464-4BD1-4758-B2AE-48D9B62979BA}">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Estructura de Edad / Distribución</t>
        </r>
      </text>
    </comment>
    <comment ref="A328" authorId="32" shapeId="0" xr:uid="{069D10F2-02A3-4D6F-80C5-B28DD22E7A0C}">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Empleados a retirarse en los próximos 5 años / Total de Empleados</t>
        </r>
      </text>
    </comment>
    <comment ref="A334" authorId="33" shapeId="0" xr:uid="{C44DA6DB-72AA-45DD-9819-95D79362D39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Número de Trabajadoras / Total de Empleados</t>
        </r>
      </text>
    </comment>
    <comment ref="A335" authorId="34" shapeId="0" xr:uid="{0511B3EC-16D6-4288-A45F-D55A2DA5C77B}">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Número de mujeres ocupando puestos gerenciales / Total de puestos gerenciales</t>
        </r>
      </text>
    </comment>
    <comment ref="A337" authorId="35" shapeId="0" xr:uid="{E111382A-DAA2-4053-B74C-3D380F64A748}">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Fondos obtenidos por criterios ASG / Total de fondos obtenidos</t>
        </r>
      </text>
    </comment>
    <comment ref="A339" authorId="36" shapeId="0" xr:uid="{36A9B1B5-5950-499D-866E-B9E5EE38B4B6}">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Inversiones en iniciativas ASG / Total de Inversiones realizadas por la empresa</t>
        </r>
      </text>
    </comment>
    <comment ref="A341" authorId="37" shapeId="0" xr:uid="{C8AEC9FD-B1B2-4D6B-ABD3-A0800C536EF3}">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Número de Proveedores con iniciativas ASG / Total de Proveedores</t>
        </r>
      </text>
    </comment>
    <comment ref="A349" authorId="38" shapeId="0" xr:uid="{41D4E7B5-F7AF-452F-B70A-079441E65CDA}">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Ingresos por productos culminando su ciclo de vida / Total de Ingresos</t>
        </r>
      </text>
    </comment>
    <comment ref="A350" authorId="39" shapeId="0" xr:uid="{31D30293-B587-44B9-B916-FF775CF02568}">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Ingresos por productos introducidos hace menos de 12 meses / Total de Ingresos</t>
        </r>
      </text>
    </comment>
    <comment ref="A375" authorId="40" shapeId="0" xr:uid="{0B160BC7-5502-4535-9C2A-C8BAD871B9D6}">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Brinda servicios de salud, campañas de bienestar que genera valor por medio de mejorar la calidad de vida. </t>
        </r>
      </text>
    </comment>
    <comment ref="A376" authorId="41" shapeId="0" xr:uid="{7CCCB637-5EC7-48E4-A0F9-95BF27CB3672}">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Provisión de educación y capacitaciones </t>
        </r>
      </text>
    </comment>
    <comment ref="A381" authorId="42" shapeId="0" xr:uid="{35AEC84A-FBA9-40CD-A8C8-A53F9A55BEF5}">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Reducción del uso de energía carbono intensiva y ahorro de emisiones de gases GHG por medio de generación de energía renovable. </t>
        </r>
      </text>
    </comment>
    <comment ref="A382" authorId="43" shapeId="0" xr:uid="{D5B27241-5BEB-475D-943C-442C6BF869D8}">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Prácticas regenerativas que mejoran los ecosistemas </t>
        </r>
      </text>
    </comment>
    <comment ref="A383" authorId="44" shapeId="0" xr:uid="{21F62E76-8E35-4154-B237-AC2AB63730E2}">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Uso de los residuos</t>
        </r>
      </text>
    </comment>
    <comment ref="H390" authorId="45" shapeId="0" xr:uid="{3CD1351A-9475-4963-A9F0-5E450C125BB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Faltaría mirar el valor de la perpetuidad</t>
        </r>
      </text>
    </comment>
    <comment ref="A445" authorId="46" shapeId="0" xr:uid="{5485D694-2055-4EC1-A387-D39E6C6D238C}">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Suma de las externalidades positivas y negativas económicas </t>
        </r>
      </text>
    </comment>
    <comment ref="A446" authorId="47" shapeId="0" xr:uid="{B707CBE0-8EC8-4CA7-A214-B1390E28B88C}">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Suma de las externalidades positivas y negativas sociales </t>
        </r>
      </text>
    </comment>
    <comment ref="A447" authorId="48" shapeId="0" xr:uid="{A312C5AC-1228-4963-940F-7873634C79A2}">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Suma de las externalidades positivas y negativas ambientales </t>
        </r>
      </text>
    </comment>
    <comment ref="A448" authorId="49" shapeId="0" xr:uid="{5C3D835D-FBDC-4E3F-863B-BE15692D6449}">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Suma del valor económico, social y ambiental </t>
        </r>
      </text>
    </comment>
  </commentList>
</comments>
</file>

<file path=xl/sharedStrings.xml><?xml version="1.0" encoding="utf-8"?>
<sst xmlns="http://schemas.openxmlformats.org/spreadsheetml/2006/main" count="493" uniqueCount="400">
  <si>
    <t>Empresa ABC</t>
  </si>
  <si>
    <t>Estado de resultados</t>
  </si>
  <si>
    <t>Ventas</t>
  </si>
  <si>
    <t>Otros ingresos</t>
  </si>
  <si>
    <t>Intereses</t>
  </si>
  <si>
    <t>Impuesto</t>
  </si>
  <si>
    <t>Utilidad neta</t>
  </si>
  <si>
    <t>Dividendo</t>
  </si>
  <si>
    <t>Estado de situación financiera</t>
  </si>
  <si>
    <t>Activos:</t>
  </si>
  <si>
    <t>Activo circulante:</t>
  </si>
  <si>
    <t>Caja y bancos</t>
  </si>
  <si>
    <t>Inversiones temporales</t>
  </si>
  <si>
    <t>Cuentas por cobrar</t>
  </si>
  <si>
    <t>Inventarios</t>
  </si>
  <si>
    <t>Otros</t>
  </si>
  <si>
    <t>Total activo circulante</t>
  </si>
  <si>
    <t>Activos fijos:</t>
  </si>
  <si>
    <t>P, P &amp; E</t>
  </si>
  <si>
    <t>Depreciación acumulada</t>
  </si>
  <si>
    <t>P, P &amp; E neto</t>
  </si>
  <si>
    <t>Activos intangibles y otros</t>
  </si>
  <si>
    <t>Total activo Fijo</t>
  </si>
  <si>
    <t>Total activos</t>
  </si>
  <si>
    <t>Pasivo y patrimonio</t>
  </si>
  <si>
    <t>Pasivo circulante:</t>
  </si>
  <si>
    <t>Deuda de corto plazo</t>
  </si>
  <si>
    <t>Cuentas por pagar</t>
  </si>
  <si>
    <t>Giros por pagar</t>
  </si>
  <si>
    <t>Gastos acum por pagar</t>
  </si>
  <si>
    <t>Total pasivo circulantes</t>
  </si>
  <si>
    <t>Pasivo a largo plazo:</t>
  </si>
  <si>
    <t>Impuestos diferidos</t>
  </si>
  <si>
    <t>Deuda a largo plazo</t>
  </si>
  <si>
    <t>Total pasivo a largo plazo:</t>
  </si>
  <si>
    <t>Total pasivo:</t>
  </si>
  <si>
    <t>Patrimonio:</t>
  </si>
  <si>
    <t>Acciones comunes</t>
  </si>
  <si>
    <t>Ganancias retenidas</t>
  </si>
  <si>
    <t>Total patrimonio</t>
  </si>
  <si>
    <t>Total pasivo más patrimonio</t>
  </si>
  <si>
    <t>Prueba</t>
  </si>
  <si>
    <t>Actividades operativas:</t>
  </si>
  <si>
    <t>Utilidad operativa después de impuestos (NOPAT)</t>
  </si>
  <si>
    <t>Depreciación</t>
  </si>
  <si>
    <t>Activo corriente</t>
  </si>
  <si>
    <t>Gastos acumulados por pagar</t>
  </si>
  <si>
    <t>Impuesto diferido</t>
  </si>
  <si>
    <t>Efectivo proveniente de las act operativas</t>
  </si>
  <si>
    <t>Actividades de inversión:</t>
  </si>
  <si>
    <t>Otros ingresos netos de impuestos</t>
  </si>
  <si>
    <t>Propiedad, Planta y Equipos</t>
  </si>
  <si>
    <t>Efectivo proveniente de las act de inversión</t>
  </si>
  <si>
    <t>Actividades de financiamiento:</t>
  </si>
  <si>
    <t>Deudas de corto plazo</t>
  </si>
  <si>
    <t>Intereses netos de impuestos</t>
  </si>
  <si>
    <t>Deudas de largo plazo</t>
  </si>
  <si>
    <t>Dividendos</t>
  </si>
  <si>
    <t>Efectivo proveniente de las act de financiamiento</t>
  </si>
  <si>
    <t>Variación del efectivo</t>
  </si>
  <si>
    <t>Saldo inicial de caja y bancos</t>
  </si>
  <si>
    <t>Saldo final de caja y bancos</t>
  </si>
  <si>
    <t>Índices financieros</t>
  </si>
  <si>
    <t>Liquidez:</t>
  </si>
  <si>
    <t>Razón corriente</t>
  </si>
  <si>
    <t>Razón ácida</t>
  </si>
  <si>
    <t>Endeudamiento:</t>
  </si>
  <si>
    <t>Razón de deuda a activos</t>
  </si>
  <si>
    <t>Razón de deuda a patrimonio</t>
  </si>
  <si>
    <t>Veces que se gana el interés (EBITDA)</t>
  </si>
  <si>
    <t>Rentabilidad:</t>
  </si>
  <si>
    <t>Margen neto</t>
  </si>
  <si>
    <t>Margen operativo después de impuestos</t>
  </si>
  <si>
    <t>Margen bruto después de impuestos</t>
  </si>
  <si>
    <t>Sobre el activo (ROA) (UODI/Activos)</t>
  </si>
  <si>
    <t>Sobre el patrimonio (ROE)</t>
  </si>
  <si>
    <t>Dupont (ROA):</t>
  </si>
  <si>
    <t>Rentabilidad sobre ventas (margen)</t>
  </si>
  <si>
    <t>Eficiencia (ventas/activos)</t>
  </si>
  <si>
    <t>Dupont (ROE):</t>
  </si>
  <si>
    <t>Return On Invested Capital (ROIC)</t>
  </si>
  <si>
    <t>Tasa impositiva</t>
  </si>
  <si>
    <t>Capital invertido neto:</t>
  </si>
  <si>
    <t>Deuda financiera</t>
  </si>
  <si>
    <t>Patrimonio</t>
  </si>
  <si>
    <t>Total capital invertido</t>
  </si>
  <si>
    <t>ROIC</t>
  </si>
  <si>
    <t>Rotación (días):</t>
  </si>
  <si>
    <t>Ciclo del efectivo</t>
  </si>
  <si>
    <t>Rotación del efectivo</t>
  </si>
  <si>
    <t>Otros indicadores:</t>
  </si>
  <si>
    <t xml:space="preserve">Costo de ventas a ventas </t>
  </si>
  <si>
    <t>Gastos operativos a ventas</t>
  </si>
  <si>
    <t>Gastos acumulados por pagar a gastos</t>
  </si>
  <si>
    <t>Tabla de supuestos</t>
  </si>
  <si>
    <t xml:space="preserve"> Crecimiento en ventas </t>
  </si>
  <si>
    <t xml:space="preserve">Ajuste Ingresos ASG </t>
  </si>
  <si>
    <t>Ponderación</t>
  </si>
  <si>
    <t>(+)/(-) Entrada a nuevos mercados</t>
  </si>
  <si>
    <t>(+)/(-) Surgimiento de nuevos productos</t>
  </si>
  <si>
    <t>(+)/(-) Otros</t>
  </si>
  <si>
    <t xml:space="preserve"> Crecimiento en ventas ajustado </t>
  </si>
  <si>
    <t xml:space="preserve"> Costo de venta </t>
  </si>
  <si>
    <t xml:space="preserve"> Ajuste costos ASG </t>
  </si>
  <si>
    <t>(+)/(-) Cambios en costo de la materia prima</t>
  </si>
  <si>
    <t>(+)/(-) Costo de la mano de obra directa</t>
  </si>
  <si>
    <t>(+)/(-) Costos Indirectos de fabricación</t>
  </si>
  <si>
    <t xml:space="preserve"> Costo de venta ajustado </t>
  </si>
  <si>
    <t>Gastos Operativos</t>
  </si>
  <si>
    <t>Ajuste Gastos ASG</t>
  </si>
  <si>
    <t>(+)/(-) Salarios</t>
  </si>
  <si>
    <t>(+)/(-) Agua</t>
  </si>
  <si>
    <t xml:space="preserve"> Gastos Operativos Ajustados </t>
  </si>
  <si>
    <t xml:space="preserve"> Rotación del efectivo (días) </t>
  </si>
  <si>
    <t xml:space="preserve"> Rotación de las cuentas por cobrar (días) </t>
  </si>
  <si>
    <t xml:space="preserve"> Rotación de inventario (días) </t>
  </si>
  <si>
    <t xml:space="preserve"> Rotación de cuentas por pagar (días) </t>
  </si>
  <si>
    <t>CAPEX</t>
  </si>
  <si>
    <t>Ajuste CAPEX ASG</t>
  </si>
  <si>
    <t>(+)/(-) Propiedad</t>
  </si>
  <si>
    <t>(+)/(-) Planta</t>
  </si>
  <si>
    <t>(+)/(-) Equipo</t>
  </si>
  <si>
    <t xml:space="preserve"> CAPEX  Ajustado</t>
  </si>
  <si>
    <t xml:space="preserve"> Depreciación PPE </t>
  </si>
  <si>
    <t xml:space="preserve"> Gastos acum por pagar (68,20% de los gastos) </t>
  </si>
  <si>
    <t xml:space="preserve"> Intereses de las deudas (corto y largo plazo) </t>
  </si>
  <si>
    <t xml:space="preserve"> Factor de ajuste de la deuda </t>
  </si>
  <si>
    <t xml:space="preserve"> Intereses de las inversiones temporales </t>
  </si>
  <si>
    <t xml:space="preserve"> Impuestos </t>
  </si>
  <si>
    <t>Ajuste Impuestos ASG</t>
  </si>
  <si>
    <t>(+)/(-) Por Plástico de un solo uso</t>
  </si>
  <si>
    <t>(+)/(-) Por Emisiones CO2</t>
  </si>
  <si>
    <t>(+)/(-) Por uso de pesticidas no-orgánicos</t>
  </si>
  <si>
    <t>Impuestos Ajustados</t>
  </si>
  <si>
    <t xml:space="preserve"> Dividendos </t>
  </si>
  <si>
    <t>DIMENSIÓN ECONÓMICA</t>
  </si>
  <si>
    <t>EXTERNALIDADES POSITIVAS</t>
  </si>
  <si>
    <t xml:space="preserve">Impuestos </t>
  </si>
  <si>
    <t xml:space="preserve">Intereses </t>
  </si>
  <si>
    <t xml:space="preserve">Salarios </t>
  </si>
  <si>
    <t>MULTIPLICADORES EXTERNALIDADES POSITIVAS</t>
  </si>
  <si>
    <t>EXTERNALIDADES NEGATIVAS</t>
  </si>
  <si>
    <t xml:space="preserve">Corrupción </t>
  </si>
  <si>
    <t>MULTIPLICADORES EXTERNALIDADES NEGATIVAS</t>
  </si>
  <si>
    <t>DIMENSIÓN SOCIAL</t>
  </si>
  <si>
    <t xml:space="preserve">Infraestructura </t>
  </si>
  <si>
    <t xml:space="preserve">Seguridad </t>
  </si>
  <si>
    <t xml:space="preserve">Polución </t>
  </si>
  <si>
    <t>DIMENSIÓN AMBIENTAL</t>
  </si>
  <si>
    <t xml:space="preserve">Residuos </t>
  </si>
  <si>
    <t xml:space="preserve">Ecosistemas </t>
  </si>
  <si>
    <t>GHG</t>
  </si>
  <si>
    <t xml:space="preserve">Agua </t>
  </si>
  <si>
    <t xml:space="preserve">Materias primas </t>
  </si>
  <si>
    <t>Materias primas</t>
  </si>
  <si>
    <t>CV</t>
  </si>
  <si>
    <t>U. Bruta</t>
  </si>
  <si>
    <t>Gastos</t>
  </si>
  <si>
    <t>U. Operativa (EBIT)</t>
  </si>
  <si>
    <t>U. antes de impuestos</t>
  </si>
  <si>
    <t>Flujo del efectivo</t>
  </si>
  <si>
    <t>KTNO</t>
  </si>
  <si>
    <t>Pasivo corriente:</t>
  </si>
  <si>
    <t>Pasivo operativo de largo plazo:</t>
  </si>
  <si>
    <t>Caja y banco según rotación</t>
  </si>
  <si>
    <t>Diferencia</t>
  </si>
  <si>
    <t>Veces que se gana el interés (EBIT)</t>
  </si>
  <si>
    <t>Apalancamiento (activos /patrimonio)</t>
  </si>
  <si>
    <t>NOPAT [=EBIT*(1-t)]</t>
  </si>
  <si>
    <t>Variación del KTNO</t>
  </si>
  <si>
    <t>Act circulante (sin incluir inversiones temporales)</t>
  </si>
  <si>
    <t>Pas circulante (sin incluir deudas de corto plazo)</t>
  </si>
  <si>
    <t>Capex</t>
  </si>
  <si>
    <t xml:space="preserve">FCL </t>
  </si>
  <si>
    <t xml:space="preserve">VALOR ECONÓMICO </t>
  </si>
  <si>
    <t>Evasión de impuestos</t>
  </si>
  <si>
    <t xml:space="preserve">VALOR SOCIAL </t>
  </si>
  <si>
    <t xml:space="preserve">VALOR AMBIENTAL </t>
  </si>
  <si>
    <t>FCL (Deuda) y FCL (Patrimonio):</t>
  </si>
  <si>
    <t>Intereses después de impuestos</t>
  </si>
  <si>
    <t>Variación de la deuda</t>
  </si>
  <si>
    <t>FCL (Deuda)</t>
  </si>
  <si>
    <t>Inversiones temporales netas de impuestos</t>
  </si>
  <si>
    <t>FCL (No operativo)</t>
  </si>
  <si>
    <t>FCL (Patrimonio)</t>
  </si>
  <si>
    <t>Aportes de patrimonio</t>
  </si>
  <si>
    <t>Movimiento de caja del período</t>
  </si>
  <si>
    <t>Caja inicial</t>
  </si>
  <si>
    <t>Caja final</t>
  </si>
  <si>
    <t>Cuadre</t>
  </si>
  <si>
    <t>VP en t=5 de los FCL perpetuos</t>
  </si>
  <si>
    <t>FCL (con valor de continuación)</t>
  </si>
  <si>
    <t>Tasa de crecimiento perpetua</t>
  </si>
  <si>
    <t>WACC</t>
  </si>
  <si>
    <t>WACC A</t>
  </si>
  <si>
    <t>Tabla de supuestos y cálculo del WACC</t>
  </si>
  <si>
    <t>R_Deuda</t>
  </si>
  <si>
    <t>Tasa de impuestos</t>
  </si>
  <si>
    <t>Deuda / (deuda + patrimonio)</t>
  </si>
  <si>
    <t>Tasa libre de riesgo</t>
  </si>
  <si>
    <t>(EE.UU.)</t>
  </si>
  <si>
    <t>Prima de riesgo de mercado</t>
  </si>
  <si>
    <t>Beta_equity</t>
  </si>
  <si>
    <t>R_Patrimonio</t>
  </si>
  <si>
    <t>Ajustes:</t>
  </si>
  <si>
    <t>Riesgo país</t>
  </si>
  <si>
    <t>Liquidez</t>
  </si>
  <si>
    <t>Tamaño</t>
  </si>
  <si>
    <t>Control</t>
  </si>
  <si>
    <t>Inflación esperada EE.UU.</t>
  </si>
  <si>
    <t>Inflación esperada COLOMBIA</t>
  </si>
  <si>
    <t>R_Patrimonio_ajustado</t>
  </si>
  <si>
    <t>(COL)</t>
  </si>
  <si>
    <t>Patrimonio/(deuda + patrimonio)</t>
  </si>
  <si>
    <t xml:space="preserve">Valor económico </t>
  </si>
  <si>
    <t xml:space="preserve">Valor social </t>
  </si>
  <si>
    <t xml:space="preserve">Valor ambiental </t>
  </si>
  <si>
    <t>VALOR AGREGADO A LA SOCIEDAD (VAS)</t>
  </si>
  <si>
    <t>VP (Enterprise Value)</t>
  </si>
  <si>
    <t>Inversión</t>
  </si>
  <si>
    <t>VPN</t>
  </si>
  <si>
    <t>VPN Ajustado (VPN + VAS)</t>
  </si>
  <si>
    <t>FCL</t>
  </si>
  <si>
    <t>TIR</t>
  </si>
  <si>
    <t>Payback límite inferior</t>
  </si>
  <si>
    <t>Payback límite superior</t>
  </si>
  <si>
    <t>(+)/(-) Aumento/Caída de cuota de mercado</t>
  </si>
  <si>
    <t>(+)/(-) Consumo de Energía</t>
  </si>
  <si>
    <t>Años 2020 - 2026</t>
  </si>
  <si>
    <t>NOPAT [EBIT*(1-t)]</t>
  </si>
  <si>
    <t xml:space="preserve">Indicadores ASG </t>
  </si>
  <si>
    <t>Contribución (= VAS / FCL)</t>
  </si>
  <si>
    <t xml:space="preserve">Indicadores ambientales </t>
  </si>
  <si>
    <t>Energía</t>
  </si>
  <si>
    <t>Consumo de energía (kWh)</t>
  </si>
  <si>
    <t>Eficiencia energética:</t>
  </si>
  <si>
    <t>Por unidad de ingreso (kWh/Unidad de Ingreso)</t>
  </si>
  <si>
    <t>Por empleado (kWh/Total Empleados)</t>
  </si>
  <si>
    <t>Por unidad de producción (kWh/Unidad de Producción)</t>
  </si>
  <si>
    <t>Energías Renovables</t>
  </si>
  <si>
    <t>Uso de Energías Renovables (%)</t>
  </si>
  <si>
    <t>Inversión en Energías Renovables (%)</t>
  </si>
  <si>
    <t>Emisión de GHG</t>
  </si>
  <si>
    <t>Emisiones de GHG (Millones de Toneladas, M.T)</t>
  </si>
  <si>
    <t>Por unidad de ingreso (M.T/ Unidad de Ingreso)</t>
  </si>
  <si>
    <t>Por empleados (M.T / Total Empleados)</t>
  </si>
  <si>
    <t>Por unidad de producción (M.T/ Unidad de Producción)</t>
  </si>
  <si>
    <t>Gestión sostenible de Residuos</t>
  </si>
  <si>
    <t>Residuos generados en el proceso de producción (Kg / UdP)</t>
  </si>
  <si>
    <t>Proporción de Residuos Reciclados (%)</t>
  </si>
  <si>
    <t>Impacto del final del ciclo de vida del Producto</t>
  </si>
  <si>
    <t>Material Recuperado (al final del ciclo de vida) (%)</t>
  </si>
  <si>
    <t xml:space="preserve">Indicadores sociales </t>
  </si>
  <si>
    <t>Fuerza de Trabajo</t>
  </si>
  <si>
    <t>Rotación del Personal (%)</t>
  </si>
  <si>
    <t>Entrenamientos y Capacitaciones</t>
  </si>
  <si>
    <t>Proporción de trabajadores entrenados (%)</t>
  </si>
  <si>
    <t>Gastos promedios en entrenamiento por empleado ($)</t>
  </si>
  <si>
    <t>Madurez de la Fuerza Laboral</t>
  </si>
  <si>
    <t>Número de empleados por grupo de edad (Años)</t>
  </si>
  <si>
    <t>Proporción de fuerza laboral a retirarse en los prox. 5 años (%)</t>
  </si>
  <si>
    <t>Tasas de Absentismo</t>
  </si>
  <si>
    <t>Número de faltas al trabajo por empleado (Días)</t>
  </si>
  <si>
    <t>Diversidad e Inclusión</t>
  </si>
  <si>
    <t>Participación femenina en fuerza de trabajo (%)</t>
  </si>
  <si>
    <t>Participación femenina en cargos gerenciales (%)</t>
  </si>
  <si>
    <t>Proporción de fondos obtenidos por criterios ASG (%)</t>
  </si>
  <si>
    <t>Inversión en iniciativas ASG (%)</t>
  </si>
  <si>
    <t>Participación de proveedores con iniciativas ASG</t>
  </si>
  <si>
    <t xml:space="preserve">Indicadores de buen gobierno </t>
  </si>
  <si>
    <t>Riesgos de Litigación</t>
  </si>
  <si>
    <t>Pagos Totales de Litigaciones ($)</t>
  </si>
  <si>
    <t xml:space="preserve">Indicadores de largo plazo </t>
  </si>
  <si>
    <t>Ingresos por Nuevos Productos</t>
  </si>
  <si>
    <t>Por Productos culminando ciclo de vida (%)</t>
  </si>
  <si>
    <t>Por productos introducidos hace menos de 12 meses (%)</t>
  </si>
  <si>
    <t xml:space="preserve"> VAS </t>
  </si>
  <si>
    <t xml:space="preserve">FCL A=FCL+VAS </t>
  </si>
  <si>
    <t>VP VAS (Enterprise Value)</t>
  </si>
  <si>
    <t>VP A</t>
  </si>
  <si>
    <t>Crystal Ball Data</t>
  </si>
  <si>
    <t>Workbook Variables</t>
  </si>
  <si>
    <t>Last Var Column</t>
  </si>
  <si>
    <t xml:space="preserve">    Name:</t>
  </si>
  <si>
    <t xml:space="preserve">    Value:</t>
  </si>
  <si>
    <t>Worksheet Data</t>
  </si>
  <si>
    <t>Last Data Column Used</t>
  </si>
  <si>
    <t>Sheet Ref</t>
  </si>
  <si>
    <t>Sheet Guid</t>
  </si>
  <si>
    <t>dc298f1d-da5b-4e01-bdb6-f89bfe63197e</t>
  </si>
  <si>
    <t>8ddb87ce-3f69-4ae5-b569-4705d48ecf18</t>
  </si>
  <si>
    <t>Deleted sheet count</t>
  </si>
  <si>
    <t>Last row used</t>
  </si>
  <si>
    <t>Data blocks</t>
  </si>
  <si>
    <t>CB_Block_0</t>
  </si>
  <si>
    <t>CB_Block_7.0.0.0:1</t>
  </si>
  <si>
    <t>㜸〱敤㕣㕢㙣ㅣ㔷ㄹ摥㌳摥㕤敦慣敤搸㡤㤳戶㈹愵㌵㉤愵㔰〷㌷㑥ㅢ㑡㠱㄰㝣㘹㉥挵㠹摤搸㐹戹㙡㌳摥㍤ㄳ㑦戳㌳攳捥捣㍡㜱愹搴ち㕡㉥攲㈶㜱ㄳ愵攵愲ち㔵攲㠵㡢㤰摡㜲㜹㐱㈰㠱㔰㤱㜸〰㈴㈴ㅥち㐲㈰〱㐲㤱㜸攱〱〹扥敦捣捣敥捣慥㜷散㙥㕢㜰㤱㑦扢扦捦㥣摢㥣㜳晥敢昹晦㌳挹㠹㕣㉥昷㙦㈴晥㘵捡㌳㜳敤攲扡ㅦ㐸㝢㘲挶慤搷㘵㌵戰㕣挷㥦㤸昲㍣㘳㝤捥昲㠳㍥㌴㈸㔶㉣搴晢㠵㡡㙦㍤㈰㑢㤵㌵改昹㘸㔴挸攵㑡㈵㕤㐳㍤〷攱㙦㈴㝥搰搹㙢㌰て戰㌴㌳㍤扦㝣ㅦ㐶㕤っ㕣㑦敥ㅦ㍢ㅢ昶㍤㍣㌹㌹㌱㌹㜱晢攴㠱〳ㄳ〷昶㡦捤㌴敡㐱挳㤳㠷ㅤ搹〸㍣愳扥㝦㙣愱戱㕣户慡敦㤴敢㑢敥〵改ㅣ㤶换〷㙥㕢㌶㙥㝦昳攴敤㠷づ㤹㜷摥昹收㐱扣㍡㜷㙡㘶㝡挱㤳愶晦ㄲ㡤㔹攰㤴㙦㥦㤵㔵㡢㙢㤳搲戳㥣昳ㄳ㌳搳昸㍦㌱㝦㍣摤㌱戱戸㈲㘵挰㔷㑢㑦㍡㔵改敢攸㌸㘰㑦昹㝥挳㕥攵收改昶㔱㉣戵㙡昸㐱挱㥥㤱昵扡㙥挷愳㤶散㜹散㕤摤㔸ㅦ戴ㄷ愵攳㕢㠱戵㘶〵敢㐵㝢〹〳搵㠶散㌳扥㍣㙤㌸攷攵㈹挳㤶〵晢㔸挳慡攵挳㤴敢扢㌹ㅥ㈲㌹㌱戵晣㠹㈹摦㥥㔹㌱㍣㌵㈳㥦ㅢ㤳搱昶愸㔷㑤户扤戱晢戸㥣扡㝡〳挷扣愹㝢㍢搴㥣㌵扣㘶换昱敥㉤愳挵愷㘷㜰㙢昷昶㠹㍤㑡昷㜹㐳昷㍥㙡㉢搳慤挵㐰㐴摦㙡㐷戱ㄸ扤㐸搰㑦㔰㈲㈰〲昵㌲挱〰挱㈰㠰挸晦〳㕣㤲散挸㉡慤㘲㘸㤵㘵慤㔲搵㉡㌵慤㈲戵㡡愹㔵捥㙢㤵ㄵ慤㘲㘹㤵晢戴捡〵戴㠹㔳愹扦㕦㡢搲㑦㉦㑣㉦〴㑦攵摥昱㡣晥捣㕦㝥戳晣挰㝢〶㜷愱搱㍤搱愴㘶㍤攳㈲㐸慤㐵挵〷㈷挰ㄳ㕢攱ち㌰㠵㜹挸扣挳㥣㥣慣ㅤ㍡㘰摣㘶ㄴ戸慣っ攴愷〸㘵〴㙤〷捤㝢㉤愷收㕥㔴戸扢㜶摡昰㘵㙢攳挶愳扡㘹户攱搴晣㔷㙤㕣戹ㄸㄸ㠱扣愶扤慥㌵㐸㐷户㐵戰㤵昴搵晢慥㙢敦㜶搶愸㌷攴搴㈵㉢慣㝥㜵㕢戵扤攰戹换摤㙢㡦㝡昲晥㘶㙤挷㡣愶㈰搴搶搴搸ㅤ慢っ慢挲㜹㡤捤慣戸扥㜴搴昴挶敤〵慢㝡㐱㝡㡢㤲㈲㔱搶搴㔲昷戲㉡攲晡昱㜹〷ぢ〵户搶㙥㐸㤶㥡㜷㕤ち挰捣戲㠶昹慥㑡㉦㔸㕦㌲㤶敢昲捡㔴㤳昰㥤愸搸㤷㉡㍥敡㔶ㅢ晥㡣敢〴㥥㕢㑦搷㑣搵搶っ㐸㥡摡㐹户㈶昳昹㥣ㄲち㄰戸㝤㝤㐲攴㙥改捥ぢちㄱ〹ㄴ㤳㤱慦㑥㤳摤挴㘹慣づ慢愸㑢搲愴昶摡㑤〶攳㝣㤵㡣挹攰挰挴㥡愸㍦昸搲搷㙦㌲㙣ㄳ㜳㉦㙦㘳㑤ㅢ㡤㔶㝦搷㥡㜴㠲攳㠶㔳慢㑢㉦㔳晢〹捥㐸ㅦ〶㈸㕣㠶㐰攸扡㝢㔴㜵攲㤲㔸㉦㕣戴㙡挱㑡㜱㐵㕡攷㔷〲㤴㐱㐳㤶㑡摣摡㡥愴㕦㠱㈲㝤㌷挱㈸㐰戹㥣㉢敥㘱愳㘲ㄹ㈹㔷愰㜴捡攰攵㤴㈰㘷扦ㄴ㉦て㥡㐷慤㝡㈰㐳愱㍣㙣〲㈳愱㔶㔳攸ㅢ㈲㠹㝡㐶㌵㔴ㄸ㝢捣ㄹ㔰愹㘱㌹挱㝡㡢㙦㍢戸㈴㈴愲ㅤ㔹戰敤㘴〱㐵㐱㕡ㅥ㘴昰ㅡ㠸愶㑤ㅡ㘴㌷㑥㄰ㄱ搹㈰㐳戳㘳攴㌴㤱戱㝤㠶㡣㐰晢㈴ㄱ戲昵㠱敥㌲㠲挴摥㐹愴散搴㤵ㅦ㜷愴搹㐶戶㝣㈸捤昶㘲攳昴㉢〹慥㈲戸㥡㘰ㅦ㠰昸ㄳ㈴ㅣ愵ㅣ昲改愴扦ち捦晡戵〴慦〶㠰㝣搲㈹㜳㈲㔱㐵ㅢ㙡㉢㜶㈴摢つ挱㑥㔶㐶㜱㈸㡡㘸ㄹ㌷敤捣㈱㕢㈱㍡戲㍡户㠷慥捤㉢ㅤ晢扡敥戴㤹㕣づ㈹㌲愳㘹㜲慤㥢㌴㑤㙥〴㥢昶愸户慥㐷㔷㝤㡣攰㌵〰㘵晤〶㐲㈸ㄷㅡ扣㕢戳攸㘹㔲扥㈲捣愲搰ㄸ敡㔱挱㐷㠴捣㈳㐰㠶㤰敢㌸扥散搸搰㌴〷挷捤㔷扣つ扤扦㍢㝦㐷㐸㙦搳㥢㍢㝡㠷晥愲ㄷ㘸㐵摦〸昶ㄲ扦敢慡㘳㙥㐲戵晥㍡㠲㥢〱摡㜴っ㑦摦㉦搴㔳愰捣㘲㍢㠱戹摤昴扡㈸㉢㜷㘹㝤㔵㉡つ㌴㘸㉥ㄹ摥㜹ㄹ挰㠳㜱㘲ㄶ戶戰敢㜹戲㡥㐳㙤㑤ㄵ昰晣㜲㔵扡搰㍦敡戹㌶换㜷㙣㘴晦ㄵ愱ㄸ昲㜹慤㉦搷㘶㈳㘷搸㥡〹㥦㔳㠲㜲愸㠳㙦敢㉥㈴ㄲ㥤搲攴挵㝥搹攷换ㅤ㐹搲㠳㈴㜹〳戶㔵扦〵〰㔲㐲晣扡慢㐴搹捦㘶㙦㔴捤搲ㄶ㉢㍤㝣ㄹ愷㤳㌶ㅦ㘲㠷ㅣㄹ〸ㅤ戶搳昰ㅦ昸㐳昶愲㘵㌷㠵挵㠰扤㈰扤㉡㝣ぢ㔶㕤㤶㐳户㉣㐵捤㡥慣㜸㠵挸㡡扥扥㡥昳㜴㠶㝦㑤搱㐹㥢㤴挸攴昶捣捡㡣戳㜸㡢愸攸㠶愴㔰挹㜰つ㌵㈵㄰㈹㡦㙤㜷㐴㑣て㈲收㔶㙣㥣㝥㠰㘰㤲攰㈰㐰攱ㄷ㤰㌴㕢摤㜸㠶挳晡搷攸搲慥㔴㜲㈵愲㐱戹〸㥦敢㉡慣づ昱㌵㙦㈲戸〳愰捤晣愱〳㌲㠳㄰ㄵ捡ㄳ㠴愸挲ㄸ收㔹㑢㕥㈴つ散㌲ㄱ㔸㥡㘹昸㠱㙢㌳戲㌴㘴捥扡愷摣㘰搶昲㔷ㄱ㠹ㅡ㌵愳捣扤㉢搲〱㜵㜹戰㝤摡捡摣搵㔵㔹搳捤㐵户〱搱㜶㘲㜶㍢ㅣ捣戱ㅤ戰㈵搵搹㕣ㄳ㐸扤㥤㡦㌱㠴挰㑥㉢㝦㉢扤戱㕢昲㝥昳搰㌷摣摡搱㈵㉢愸换〱㌳㘴㍡收㑢㈶㜶ㄱ㤱㠳㕡扦戹戴攲㐹㌹㍢㘴ㅥ昳慣㕡摤㜲㈴㤱〱ㅢ㤳挱扡㌹㜹ㅥ㔱㠲〵㤷㌱㐰搷ㄹ㌲㤷㍣挳昱㔷つ〶ㄴ搷㜷愷㥥㔴㔸愴㘰㑥㕢㡥㡦搷㈸㉣㌲㍦㙣㉥慥戸ㄷㄱ戱㙤搸捥㌱㘳搵摦ㄶ㔸㈱搱㠷㐹愱㐶㘸㐲搳㐴㐹㉢昵㡡ㅦㅥ挸㜳㌹昲㕥㥥㐰攱㉡㔷愰捦㍣㐳㝢搳慥㡦㘲㌴戴搳㌹愷㐱㐴㡦㥡㠵㝤㤹㔲㤸㥣慡摦挹㍥㙦〱戸晢搸㤹ㄳ慤挸摣㡢㡡㔹ㄷ攸攵捦㤰昱㡡㉣㥡㠱㄰晡攸㜶㠵愴挲㌲㔲づ㌸㄰ㄸ攷㔳㍢昹㤵㑤搵㠶搴户慢㤵㍤㡡㐸搲愰㌹㘷㉣换㍡攲搱戶ㄱ散ちㅦ㘸挶摡㐶摤㡦敡㘶㕣摢㌶㐸㕡㈴换挵慡㐱ち㥥㙡〴敥㐹换搱㑤〰㐵㝦㔱㤱㜱〹㐵挶㈵㔵㌴㘸㥥㘶㘸㔰攵㌹㤶㝢摥昰慣㘰挵戶慡㈵㍥㌰㝣户㉤㘸ㄲ㑣㑥挹ㅢ愷㔸㘶㡣戵㔹昳㘷㘰戲昹ㄳ㐰昷〴攴㈸户㡥攸〷攵㙡愲㠸晦㐴㡦㡥㈵〸ㄸ攵㈹搵摦㠶搱ち敡㜶〴㐴㡥㑡㤷攳㍢ㄸ㤷ㅦ㐲㐹㈸㠴㠸昵っㄲ㠱㔷㌰㈱攴改攲㉥㥡㘷ㅣ㉢〰昶㠸戱愳㔶㌰敢〳攵〰挸慡攳敤㌵ち慢㠹㑥攳㑤慤㜰㝤㘷㔵㑡㑤㕣搷㔹㥦搴ㅢ慦摤愰㍡搴㈸〹㐵戲㔹㈳愵㔹㌶㤸攳㜶㔲㌵㐲㈹敥㔸摢㠸㉣户㘹㙢摦㈹㐵㕥㠴㘲㔲㌴㤳搳摦慥〸〵㠱摥㐸㐷搱㘷㥦㑤ㅥ㠹㠸つ㙤㠰㌲昵㔴㔸㌶ㄴ㠵〴㑦攰摡㐹㑤㤶愳㈷昰昷慥㈸㍢摦〸㔲㌵挶愵搱愸㘶慡㕥㥦㜷㘰㈵㔴つ慦戶㑤㔸ㅡ㙢ぢ㌵㡣攲捥㕥戵㝦戸扤〹㐶㡣搸㤰㘱㤱っ㍦㌰搸㄰捣㤵㠸愸搲㍡ㅢ攲㔶㌷㡢㑢㝣㍡㈹つ㐷㘱㘰㌱愸捤捡㌵㘵㠶戵㉣昹㔱搵愱㜹㕡㔴㜲㔴㌷愷㤶㝤愸昴㠰㜲㍣捡㈹〶搷捤搳㜴㑢攱ㄲ〳挴㙥㤴㕢愸〶〸敤㌶〷攰挹㘰晢㘰〷㍢ㄲ㠶㑥㘸㥤㔱㠲ㄶ㌳〸㌷扤〸昲㑥㡦ㄸ㠵㈰㌵㔵晡晢ㄱ昱愵挷㤸扥㜱㈴ㄷ㘷㈲㈶㘲戸㉢挳㝡〰㜲㤳㤱㐹㜲搱㘸ㅣ㌰て㈵㥢ㄲ㕡㠳㜱ㄹ㑤㡣㈱㥡㝣㕥㠰㕢㍣㡣㘵つ㤳㙤敡戸攷ㄶ㔸搰愶昵昵㕤收〹愷㕡㙦搴愴㔲挵戱慣㔶ㅡ㜹㕢攰㑢㕤〱っ戹㈹㘳㕦愲㑤㌹㠱愳ㄴ㤷㑣㈴昵㙥㜷敢㐷搰㕤〹㌹㡣ㄱ慡㍥〶㈰㌳摣㜲㉡㈰搶㜱㑦㠱昶攱敥搶〵〶㜵㜹づ㈲慤愳㠸戲㙣づ昷昱㥡㔱㘴挵㙤㠹㘶㜳敥㥣㑢㥢㍤㔱㜴摣ち㡢戶〵㡥戰捥㔰攰ㄵ㡢㌰㐶㝡攴づづ㤲扢ㅣ㐵㜷㉦㍦愴ㅥ㜳㤷㠱ち㠵〱挱ㄸ㉦㑦㐱㌹散㉡ㄸ㠹〶户搶戲扡〵愳扦戴扣昵㈹〰挱㌰㌰つ㕡戴っつ㥣ㄹ攴㌷㌷㜰慥㐷慢㡣〸㘹㌲㤸捡ㄸ攵㈸ㅣ昶㐰ㅡ戸㠹〷改㈵ㄷ㑡㈸搸愳㉥㠶挵㜷ㄳ挷㙤ㅣ㠱㕣敦捡戶挲〵㈳挰昵ㄷ㘷㕦㕢昱㔴慤㐶㜳ㄷ晥戹㙤㠱㔵㕣摤〸捤搱㍤㙤㤷戲搴㥡㘸摦摤搸㔶ㄱ㕤ㄶ㍣㌸㍢㜱摣〸慡㉢㡢挱㝡㜸㜱慢㔷㤲㈸晣㄰晥㠸つ摦㑥㥢㌹敦昰㈲敡ㅡ昷扥㝣挱㜱㉦㍡㙡㕥〵㥦户晥㐰㈱戸㐲搹捦㐹㤶㜳晦挶㝦㉡㘹戹挲て㌰攲㔶愶捤〱㕡づㄲ㡥愳㔲㈸つ挶㤰捦愰ㄳ搸敥捤㕢〳愴㤳㍤㙤㜴愲〴挱づ愱㌸攷㕦㌲㐲ㄱ摦〷㕡㐹㉣攱㤱ㅣ㝢晥ㄴ㔸㕦㝣て㈵㐴㌸㥥㈳㌱㔲㜸つ㜲ㄹ愸㔳㠲㍣扡攲挱ぢ㈱晦㍦㔸㡡戹㜹㐳㜶晡㉦㌰戳㜸戶ㅤ㐵搷ㄱ㐵捦㜴愰㐸昰ㅡ㠸攲摦扢㤱㠹㔳㠱攱搹ㄷㄴ〸攷㥡㜶づ愰㉦晢㠵摦晦攱〱㜴㉥㈲づ㘵愳㈱搴㜶ㄳ㥥㥢㈶㐲㕦㠷㠹挰攰扤㌲ㄱ㑥㈲㈳ㄸ挵て㑤㠴挸〷㌲㡦㠲捤㑤〴挶昶㌲っ挱㐴愸㌵攱搶攰〹散㑡㥢晥戱攳戸㜸㉢㝤挴昳愱戴晣ㄹ㜸愴慥敡㉣㕥㌰㍣挳摥愷捡㡦㜹ㄲ捡捣㕢挲㑤㙥搵㠵㍤慥搹戰㐶㜵摡挰㔷ㄱ㝢搹㜷晣㈹㕢扢扦づ㑣㠵㈹㜴摦㡢㤲㈸扥〸㑦㠹攰戹㈱昷㠱㍤摦㍣昶晢〷ㅥ㌹挲摢㙡ㄱ慤ㄶ㙥㐱扥㤷㤰㍤敤〹〴㜵ㄳㄷ㐵昶昲挳㥣㤳昸㐴挹㕡慤换㘹挳㔳㔶㤰慦摢㜱㌶㈴扣〴㘱㠶挴户ㅤ㑣㑣摣㝢〸㑤捣㠹㌶㜷愷晡戰㐹戹〸㈷ㄲㄳ㔷㍥扤㌸㙣㈸扡㉡戲ㅥ慤捤挲户愱㡡㕥攰㐴搲㔶㈲㑦㥤㑣㐲㝣慢㕤搷ㅤ愲慥ぢて㌲っ晢挷㔲ち昱〷㔲㐸昲㈰挳ぢ〱㑡㑡㥤㐶愶㜰㉢㐰㐶㘴慤㍤挴㑢㝦挰㡥㄰㤰捤㑢㝦㍤㝥挴㠲㕤〴ㄶ㘳㕦㝣慦㈷㕡摡愲戱㙡㘲愸㔶搹㌴㡢挸愸挳ぢぢ㈶攳搲㤴愵㜳㄰愵㕢㜶㐷昱㈵㐳㜶ㄸ㜸ぢㄹ扢㘰搳搷㔶戶敦㜲ㅡ戸昹〱㍤㔳㔴ち挳搹捤㘲ㅣ㐸㔵㡣㉥㙣㕡づ㡢〸㠷挳㙣戳搳㐰㔴〵㥤攵散挳愹ㄴ挱㍦㝥㈹挴晡昱搶搰㝢摢㙢愸攳㥣㝥㉣㤰㍦搸㕦搷㘵㌰㌶摥㑡㡥㠱㠴摤㔲慢㔲㜸㍤晣っ扡㜰搱㌹愱户戲敡㔹ㅣ挲㥦㤸戳晡戴づ晤捦攸戵攲慣戳散捤㌰㜶㑡晦扦ぢ〵㥢敡㝦挱搸㥢㐲攴扢愳っㅦち㡣㥦㙣ㅡ戲攱㡥挰戳㡤攰㡤㍡ㄸ敢㉡换㤰㜷㤸㕢挴挷慢㘱戵㤲攰昰㝢攵摢慦㐶㌴晢搲戶ㅤ攸㉡〰ㄹㅢ㉡㍣〵ㄱ搴戵㝦㕡㙥挵愷摢攲㝢搱㜱捦㐹慢敡戹扥㙢〶㘳㡢〸晡㡥昱摢㌳ㄳ㌶捦㤴昸㝡扢㔰扢ㄱ㍢㌱昸㝥昴㌹㌵て㠱㝤㑡〶㉦㔵㉣㤲㤱㠵慤㐵㌲昸ㅤ搲㐸㈲扣㐴敤攰㕦㘱摥搳㌰敡昸㜴㜵ㅥ扥捥㠰㐵摢㐲搹㠵ㅥ攷昶ㅢㅡ摣㍡摣搱㝡㈷晣㐱戲㍥㠱攰㤸㕡挲㝢摦捦㝤㙤摦㠳㜴摢㘸㙤㍥㕢昶收㜳㉢ㄷ㥥〴㑥户昶㤶㌴挹昰㥤晣㈲戹慣㔷〸㜱㘹晦〸晥㙥摤㐱换搱㐶㐱攷搱〷摤㜴㠴㡤搷攱㍥摢㐲昴晢ㅣ扡㡡㈹〲晣㜴㈳捡昰㐱搰换㐷㔶ㄴ㕦挱戲挸〰挸攷㡡㔵㠰敥㔴晤挴㐶㔴㍤ㄲぢ㘴挱㌳〶挹戱㉣ㅥ㐷㐳㙥㔷戸㙣戰〴㤷㉤搴㔹〲㜹㍤敥㠱㝣㑥昰㉣愱㈶昲㐵㜴㘸㑥挴㐲㘹昷㠹㝣㘱愳㠹〸㕡〱㙡愱挹昱㐷㘲㉤愲搷㔱慤摢〴づ㠱ぢ㌰㑣戱㐸㔹㔳っ㐳ぢ摦㈳㘶㤰㝥ㄹ晤㝤晥挸㉦㥥㘳晡摢ㄱ愱〴㈱慡搲㤳愷㈰㔴㤳晦㜴㜲昲ㅥ㑡扢㑦晥㤳ㅢ㑤㝥㠴㌲㤲㌳搱〳㠰愱㍥㔱挱ㅦ戵㤸〶㌲摣㐷晥挴㌹〲晣㔲戳ㄸ㌱㔰愲晡㕥㐴〶㝤戹攱慡搵㈵㘴攲扥〵慥㍦攳攳ㅥ㘵ㅦ昱㈲㈴㝤㌹挵搰ㄹ㕢っ戵㘲挹㡥扣戰摢㐲㌶㘰㐹晣㕡戶慢㐸㉦昶ㄸ攱ㄷㅦ㠹ㄱ㜳晣㜸晣攵㤴ㄶ挵㥣㐰ㄸ愱㐵㑡晡攱㐶㡡て挷㡤扦昳㜴换㘵㡡ち㈴㔰㑦搸㤸㜴愶ㅡ㍦ㅡ㌷㍥㠸慦戲㔴㥢ㅣ㙦㄰㌰㍤ㅦ㌷㈶㍤慡挶㡦挴㡤晦㝡㜰㕦戳㜱㑣㠷攱挸〵ㄲ㐹㠶慤慢慣晦挴ㄷ摡挳㘸㕥㌰愹㍦〷捣戰㤸㤲㔳㠵㡥敢㑡㠳づ攲㌲㠸㠷㙦愴攷㜰户〹㔷㐰㈰㘴挳㝦㉡攱〴敥㍣捤ㅡ㠱㠱㑦愰搷㄰㙣昶㜴昵挴捥㐵㜳摥㐳㐱扦㜹挲挷㤹慡戶慤㐸〴收㐰㍥摣摦㑤㥣昲ㄹ愶㘳㙢㍦攲㈰㤹挶㍢㈴扤㈹てㄵ㔸挹㡢て挶㤸捤㍤摣愲ㄹ晤㈱㈰〷搲ㄱ㤰ㄹ晤㘱挰㌰㄰挳摢捡戹ㄱ昲扦㘲敥て戲攲㐳〴㡦〰㤴〵㤹㥤㜴㔰㝣ㄴ㘰㉦慣㔴晣㔳ㄵ晥㔸㑤㡥慤㝡㜲つ晦昴挵㡦扦敢㘸攲㠱昸㤵㐹㘲搲㍦挲㙥ㅦ〵攸㠳ㄳ㔷㐴愴㔸搶㍦㠶㤲攴慢㈹㍥搴慢㍦捥㡡㑦㄰㝣ㄲ愰㕣攰㤴户扣㜷㕣㔹㡦晡敢㔳攸㉡ㅥ㈶挰㑦晦㜴㤴攱㐳㠱扢昱搶敥ㄶ㌳て挴昱攷晤〸㜸愶扥攳扦ぢ摦攵慦㜳搱㝤昸㘷㐹ち捡扣捦㙢㙦改㙤㉣戲〲㉤㜳昵㕢挵㘶扦㠸㜱戸慥㔶ㅣ㠵㈳㔲戵㤴戴愲㈰搶戹㘰攱攲つ㝣换㘱㔵㈱〴㈹㐱㔵㌸㔱挵ㄱㄴ攸㥦㘵㔳攲㤸㜸搲㍦挷㈷愲㔶㙤攲攷愳っㅦ〴昱慡扡摦ㄷ㜵㡦㕦㐸㕣慢ち慢敤㠵挴扦慡㔸㐹扥昰㌱づ愶㤰㠵㑣㕡㌷ㄱ㘹㡡㠶ㅥ㐷㘶愸㙦㤸㜳扢ㄷ㍦敤㤲愸㥥慢㥤㍢昷捦攱晣搸㌵昹㜷扤㘳昰戱攷㝦晥㠷捦晣敡㝤㠷晦晣慦㈷㥥昸搵ㅦ㍦昳摣扦㝥戸㝣昸愷㑦㍥昹㤳扢扦晡摣ㅦ㜶㥢㕦搳㥥晥攷摣搷ㅥ㥣扣昰攰晤收㤹㕢㡥㍤昸敥晢敥㤹㕣戸㘲扣慦慦扦晦收搱㥦㕤晤晡㤱㠷敦㝦㔶晣攸户㔷㌹㐲㉤ㄷ㉦㐸㑦㠳换㔶搳昸㌲㌲㤸〶㘷晣戲㑥㠳换㔵ㅢ戵ㅣ㙤搴㌴ち㑡昰㙣㜰〲慡挲㐸㔷っ晣〷㍦㝢戵㡣</t>
  </si>
  <si>
    <t>㜸〱敤㕢㝢㜴ㅣ搵㜹摦扢摡ㄹ敤㕤扤ㄶ摢ㄸ攳〰㤶挳挳㠰㡣㤰晣挰㌶挱㤱㘵挹㤶㘵换㤶㙤挹㐰㑢愸㍣摡㥤戱〶敦敥㠸㤹㔹㔹㙡㘹攱㡦㔲㐲㘸挸㠹㘹㥢㐲㘹㈰㠴昰㉡㜹昴愴愴ㄴ㈸㐹㡢㘹㑡ぢ愱㝦㜰ㅡ〲㍤㍤ㅣ㑡㥡愴㜰㕡㝡㑥㜲㑥摡搲搰摦敦捥慣㜶昶㈱搹㔶㥣㔳晤㤱㙢敦㌷昷晤昸敥扤摦昷扢摦扤㡡㠹㔸㉣昶㈱ㅣ扦㜴〹㝡捥ㅢ㤹昱㝣㌳摦搹攷攴㜲㘶挶户㥤㠲搷搹敢扡挶捣㤰敤昹つ挸愰㡦搹㐸昷戴㌱捦晥㜵㌳㌹㌶㘵扡ㅥ㌲㘹戱㔸㌲㈹攳慣㈵晣愵㑢〱挹㔲㤲搱ㄲ戹㘲㔲〷㘹㙥〴ㄹ敤摢㍥㍣㝥ㄳㅡㄹ昱ㅤ搷㕣摢㝥㙤㔰搵搶敥敥捥敥捥つ摤㕤㕤㥤㕤㙢摢晢㡡㌹扦攸㥡㕢ぢ㘶搱㜷㡤摣摡昶晤挵昱㥣㥤搹㘳捥㡣㍡㐷捤挲㔶㜳扣㙢晤戸戱㘱㜳昷㠶㡤ㅢ慤㉤㕢㌶㌷㈷㔱昳扥扥敤晢㕤搳昲捥㔴㥤㤲㜵づ昷㙤敦摣㘷晡㘷慡捥ㄴ敡㐴㤵晤㑥摥戰ぢ㘷愸㔲㡤慣摥搸㙦㘶㙣捥㠹㘹扡㜶攱㐸㈷扡㕤挱㘸㠴㌶㜵昶㝡㕥㌱㍦挹改敤㌳㜳戹㠳愶㐵戶挹㝣扦攷敦㌷摣扣搷㥣㈷晦㑣搷㉣㘴㑣慦㌵扦㘳㍡㘳收挲㡣㕥㌲㝦慤攱敥㌳昲㘶㠲㥥戶㝣㌰㠷㠳㔹戳攰摢晥㑣㑢晥㤰㘷ㅥ㌴ち㐷㑣㘶搱昲〳㐵㍢㉢ㄲ〹晣㡦㌵慣愹搷㌳㌵㔱攸㑦扥㙦挲㜰㝤ㄵ㘲㕦扡敢攵㡤㉣ㄷ㌵㡡㡡㝥㜱㐹戵㔷㤵攲㥣㡤搸昹㍤愶㕢㌰㜳㙣㠴㌳搹㔱㤵㐹㌱㈸㤸㠷㔹㑥㤵㠶挳㔹ㄲ㑤攱㥥攰㔸搸㡡摥〴㜲晥㍥挷捤㘳㐱敥㌵㡤挲搶慥捥敥㡤㙢㐷晣㙣扦㌹〵㝦搷扡㡤戲ㄹ㔹㘴ぢ㌳户㠲㥣摤攷㘲㔲昲㌶㜸攴戴㥢㠵昶㈹㜸っ㑦戶㌱㔳ㅡ㐴㈴晥〳ㅢ㌱摡づ㥢㠸㡦ㄹ昱戱昱昸㔸㈶㍥㤶㡤㡦㤹昱㌱㉢㍥㜶㈴㍥㌶ㄱㅦ戳攳㘳㌷挵挷㡥㈲㑦挹㈵ㅢㅢ攳愱㝢昳愶㝤昶挵㕦敥敥扤换㑥晤搱㤳㍦晢愰㐹攳摥㕢㕦㙦搰搵晣摣㠹㝤㤸㌱㍣㍦㥣㙡㡥昵捣慥㠴㤳㉦㠴㥤㙥收ㄷ扦㄰搰挸ㄹ㔹〸㜲〹㌸㈴㤷㠲攸换㐰ㅡ慥摤扦㑦㥥捤愸攵㈰㐲晣〸㜳捡㜹扤收愵摢戵㘷㍢慣摥㑦㍥昵㌷昷㕤扦敡慡㘱㐱㌹愸㘴改ち㜸㉥㍤㔴戰㉤慣愵戵㝢㙤戵㤰搶慤摤㙢㑣㜳㐵㕤戵㘵㕤㔷挴慤㤳攷戲敡㤵㈰晡㐷㐸〶㌰㔳㡥㈷捦㘳散昹㈰㐲扣ㅤ㌶㜸敥つ摥户㔶敤㉡づ摦昳㜴晥挸攷㕥晢㡢㜳〴㘵慥㙡㜰ㄵ㍣扢㐷㕤ㅢㅢ戴㤸㌳摣戰捤㑤㕤㕢㌶㙥㠹戸戵㐳昶㔱㌳㘷㥢㥥㡦㝥㙣㕡摦扤㈹散搲愶㡤敢㌷㐵戲㙤改㤶敤愸㑦慥〶搱㍦ち搲摡攷愰㑢敤㔹㌳㔸攰昲㐲愶㕥〴㈲挴㥢㘱搷扥晢㈵搱㝡攲扤㐷昶㍣戹昵摥㠳搹晢扦㜹㝤昳㈵㐸㍥㄰㙥戰㝥搷㌸〶㤱㔵㤶㠶敢㍡戱㥢㑥㐵つ㐰ぢ㔸ㅢ慤㑤㔶㜷㜷㜶㘳㤷戱摥搰戸晦㑥㔵摥㜰〷㌶㕢搷搹㠵慣㜳㑣〹愰昳戶ㅢ㥥㔹㕥㠶ㅤ㘱摡㜶愷㔸挸㝡ㅦ愹㥦㌸攲ㅢ扥戹戲㍡慤㕣㐹㑤戱ㄱ㠸㘷搳㔳敤㕤㔰㕤散㕡㈳㔷㌴㝢愷敤㈰昹晣慡㘴〸㘷㘷㝣敥搴㥤慥㜹昳㙣㙡㑤㡦㝡愱搴愷㔴摤㌵愳っ㤲㠲㝥戵昷㑤㌸㥥㔹㔰摤敢挸敦户㌳㐷㑤㜷挴㈴㈴㌰戳㙡愸㘷㌳㈹搴㄰ㅤ挳〵っㄴ㌲㍦晢搱㘸慣戵㘳摡㌷ぢ㔹㌳㡢晥㑥㥡慥㍦㌳㙡㡣攷捣攵ㄵ㔹㠲㌶㤱㜰㙥㐵昴㑥㈷㔳昴晡㥣㠲敦㍡戹捡㤴摥散㤴〱慤㤴摤敢㘴㑤㈸㤵〴㕤㑣挴ㅡㅡ㠴㠸㕤㕥㑦挸戱㕥慦㔳㑤㐴㘴㡡愹㘳㔶㔴㉥扢捥㠳ㄸㅤ㐶㤱㌳戹㈶攳ㄷ㥤愴㌲㔵㉦慢戹㙣敥㡣㤱㌱ㄱ㍦㌱昷愵㜳攷㔶㝤㥣㥤戹㕦㙣收㜸㝣㘹㌸晡ㅤ㔴㐶扢㡣㐲㌶㘷扡昳愲㍦挱ㅥ挹㌵㈰摡敢搸捤㜳㜲㡦敡㐶㑣㡢ㄹ敤㤸㥤昵㈷昴〹搳㍥㌲攱㈳づ〸㌱㤹㈴㙢㙢㥣扣っ㔱昲㜲㤲づ㤰㔴㉡愶慦㘵㈶㍤㈵慦〸挲ㅡ㔵改改㘳〲㘲㔰愹㌰〸〰愳愷攵愱攰扣㠶㠶㝡愳摣㘵㜸ㄳ㍥㤷攷扣㠹搴㠸戲㤳攴㑡㄰㡤晡晢愴㤰㠳㤹ㄲ㐴㔶㉤昹㝥搳㌲㠰㘷搵敥ㄶ㠶㤶て㈰㔲扦改㘵㈴戱搴㈰昶捡戴づㅦ㌶㝦㜳㥥慢摦㥣昶晢つ摦㘸捣〳㤵㘱㤶㈴㌲㜵愸㔲㠱㡦㈵㕢㔴㕣愹㜴㉡っ愱㠶戴昲㐶㙡㘹㔲ㄱ㐱㑤搸㌸搸㉦戱㠶㤰捥㍦〸昴㥤敡㔲慦㕥攸㤵攸ち愰㉦㍢㘰ㄶ㐶㘷㈶㑤㡦搹㤳晡扣慣慣摥㕥慣㙣㌸㌳㝥挸户㜳㕥㈷㝡㍡攰㍡挵挹㌳㔹て敢㤲㕤㈰㈵愷扤㡡㔵㝣敡㘳攲改愸㜱㡡㜳㌳㌶ㄶ㑢戲㌶挶㐸挲㍢挹搵㡡捡㍥挴㐷㌹戹〱㥦搴㝣㘹ㅡ㤵捥改㈰㔱㘲㠶收㍣㌸㌴敡㥡ち㕢㈷㔵〰摣㙥挹㕦攷戸㐷挷ㅤ攷㈸搷㔳慢ち㜹ㄳ愶改ㄳ慦㌶㠵昸㕣攱㜰㈱ㅡㅡ㉡㐰㘶〴搸ㄲ改敡㥢㐱搲愳㑥搶昱摡㜳晣搹攳慥攳改㕢㄰摢〰昰慣㕦つ捦愵㝤㠶愷㔴㍣搰㐱㌱㙢㍢敤㄰敥㌳㄰㥣㑥㝢敦昶扥昶㑢搷㜵㜵㙦扥慣㜳㍡攷㑤㡢ㄷ挱㄰挲㥦敦摣昱收愷敤㥥敦敦㝥捡ㅥ搰㕥扢晢搵ㄵ攲㐴㤸㔰〳㔴〹愷收㔱摡ㄵ搸㤰㠰慢㐲㘹㌷㕢㍢敤㥣㙦扡㑡㉥户㔹昸〴挷㈰ㄵ㙥愱㉥㜲㡤㑣㜰挰㔸㘶昵㐱ㅤ攱摣攵捦㤴ㄵ㜴㡤㍡っ戴挵㉦㤵晥愲㔳晡㑡攵㔷㈸晥㜹㤴㉡ㄶ㑤㤵摡㥦㍦㜳㘴ㄱ㔱摦搵摤愲㙡㐹㜵愲收捡㐵挶晣搵昲㐴ㅤ㉥㘷昳㐷ㄷ㈱㜳㜷捤つ〶戸搸㙢ㄷ㈹ぢ捤愹㜸㝦〹㕢敡ㄹ慤〲搸戲ㄵ㡣㤳ㅦ㈷改㈱搹㐶搲ぢ㈲㥥㠷㌰㈲㥣戹〵㠱㐷昰㍢〱捣昰㡥㤲散㝤捣搳㑦戲〳〴愰㐴㠹㜹㘰㤲〱〴昵㕤㈰㡤搰㜷㈶慣㔲㈹㈱㜸〸㈴㐶㤱㠳㈴扢㐱㥡昷㠰散摢㘵收〰㝤捦㤴㈵㑡攳改㜲㝥㘵㡤㜵㐳㌱扡㍣㍦㌲㔳挸㑣戸㑥〱㘶㍡㘲㠸摥っ㑣㌹㥥㌰昴晣㤰搳㔷昴昵晣㉥ㅢ㥦收晣㐱㜳搲㌴晣㍥ㅣ㙤〰㔰㠶㜰愴㔴昰㘳㌰㍢晤晦〹㑦㤴ㄵㄱ愷挶㌲㐲ㄱ搵扢㌶〰ち㈱㝢㍢晢ㅤ㤸〵㑤㘵愸㈴摢㜵ㅤ㔰㜳ㄱ攲㡦㤸ㅣ㐲敦ㅥ昸捦㈷㍥㜶昱ㅦ㝦昵挳昰㝢㉢㔶㥦㜲㤲㍡慤ㄶ㑢っ㈳㌶㌵㕦㥡愰戹㠱㜸㐲㔲㝦敢愳㈰つ㔸〶㤲敡㕡㍣㠱慡敢㙡攱挷挳㠴ㅡ敢〴捤っ㍣㍥换敢㔹晥㔱㘴攳晥㠰扦搲挹㕦㐵㔸摥㐰昲〹㤰挸晥昸戵㈰㈸㘸慡㔰㝢㘲㡣㤹づ㠳〸ㅡ㉢〸㠸愵〱㔲㜲攲昳愸㥦㘰㑣㙤㍢摡㌶㙡㤹㘰㈲㌶㈵攷㐹ㄳ㌴㠱捣㌲㐱ㄲ戳〴っ昸㍤㔴㕣㤷〱昷㠴〹㌵搶㤲㜶㤴㔵っ㈸挰㈳㍥㡢㙣昵ㄹ㌰挹㌶㙥㈶㜱㐱㈲っ昰㠳愰㔸㡤慦㘲㐰㤱㤹愶㐰〴㑤㈲㡡〱挷攰㈹㌹昱㐹戴㌱换〰㕡㔲㙡ㄹ昰ㅢ㠸㑤挹㜹搲〴つ㉤昵ㄸ昰㕢㜳㌱攰㌷挳㠴㙡㥢㡣挶㌳摥㘹㥣愵㥢搸㘱敢㕡摢㍣㐶昰摦㙡挱〲摣㔷㠴㈱㐸㥤㔴㕡慣㝥㘷㥦攳昷摢摥㘴捥㤸㔹㙡㠵㥥敢㈶捣〲散〸㉥捣〹㔵㜱捥攴愴㤹㤵搶㠸㔳㜴㌳收㘰晦㘲戰㌳㘰㝣㤸㍡㘵㘲㠸ぢ戸㠵ㅤ㥤㈱捦㐴㑣晦㙤㔴搵㐴㠸摤ㄹㄸ㤰㔳㜰㌱敤㌲挴㔶㥦㠸㈲搰愱㡣㔲㌹挱㙤㘵づ㡦摡㝥捥㙣戲㔴扡昲㈷㉤㜰ㄵ挶㥡㙣愳㌵㍡㠱㤳㐲㝦㡢㌵攰摡搹㥣㕤㌰㌹㌹㐰扥㌴戳て㤹㐷㘰㤸搹敦㜸㌶慦〰㕡慣㔱搷㈸㜸㤳㍣㘳㘶㘶㤶㔴㠴㤴㌶搰慣敤㜶挱㐳㌳㙡㔶改㙦戳㐶㈶㥣㘳戸㈴㉡收ぢ〳挶愴户㈸㘶㠹攲㈳㜰㙡慡㐴㕣挴攳㈲ㄹ㑦㉥㜴扥昴摢㔱摢㌲㉣㔸摦戵挷㡢ㄹ晢㠵慦ㄷ摡㠳㐹㔳慤慣〳㑤㤰㘰敢㜳づ㘹扦㤸〷晥ㄱ〴㠶昶㌲摡㠲搸搹ち攳㝡㕤戳挴散搵ㅢ㠱㥦晣ㅤ㤶戹〳㘴昷挰愱挱戲㤵昴攷扡㌰搳㍡㔰㕦戵㜲慤㕥㝡戳㐶㈹攲㡦搶㘰つ㌱㡥㑢ち㕢ㄵ㑢㠱愱敡㜵㤹戲㔴ㅥ㉥搱搶戲㜷㈷散ㅡ捤搶㤰㌱㙥收㘰㡥挹ㅢ㝥㙢㄰㈰ㄴ挶㠵㡡ㄷ愶昵㌹昹扣挱㌵挷昵㍡㤲㌱㜲㘶搲敡㉤晡づ慣攴搲〲㔱ぢ㌳㡣㌲愶ㄱ㘵㑣慢愸㘶敢㈰捤戴捡捦扡㥣㈳㠶㙢晢ㄳ㜹㍢㤳㘴㠰愶搴㐵戱㔸㈱㔰㘸㈸㉢戹㤲㜰愹〶㜷〱捣挱㜴㜷攲ㄴ㐳搶㜱晡戱愴攳㐲挷㍦戱㐰㉢ㅥ㐴㤱搲㌰昲㑥搴愶搱㑡㐶搹愴摣晢愵晢攰昷㙦㐵㡣㕡搹攲ち㘶挰㑦㝥㉡昴㌰㤰愰ㅤ㙣㕥ㄳ㑦㈳㌲愴㠶ㅣ㈳扢ㄳ〷㙦挷㙤っ㉦㜸㤳㤸㕡捡ㅡ㌷㑤愳㕢ㅦ散戸㌰㈱㑣搹㔹搳㑤㌲㘲〴㠰㌵㐱㜳㥤ㅥ捣㈱挰㑣㐳㑣搳㥡㤲昵摡ㅡ㉣搵㜵㔱㘸捡㠸摥㕢て搶搴晦摥㠱捤㠴晦ㄸㄶ㙦㐳攴㕤㈴扦ぢ㈲慥〴攱㜸慡㌲㝣㥡ㄹ敥〶搱扡㐰慡攷愶搲晥ㄵ㕡挹ㄲ敡㙡㤴㤶戹㈴慣㔸捡愴愷愹㠱㌴㐵㑣㜱㝡㘰㠵㑢㤶敥㕢昵ㄱ慣㜲㌳㥢ち〴㉣攱㍡愷㈳ㅥ㑦㘰慡昵㙡㡢㐸㑤戳愸㉣㍦㘲㉡ㅢ㥤愰㕤㑡晦っ㐸㡡㥢〵昵㡦昵㙦愸〱ㄳ愹㤴晣㉣戲挴㔲㘲〳㘸㘹摣㔴㉤愹ㄴ㈷㑤ㅥ㈷戹〷㐴攳戹㘹ㅥ改〰㤸ㄹ㌹㕤户㈲戳㙥攱㍥换挷挶㘵晢㍢㙤ㅦ㕤㘸戶㐰攰㔵挷攰㤵㙡㐳㐷ち㜵捣㈲㠷㔵戵㐹ㄵ㔰攲㠲摡昴㈸戶戸愸㑥㜲㠰㍡㈲㘰攳㘴㤹ㄴ晡愸搳挷挵〴㐷㐴㜰㍣ちㄱ㠹戸㜸㙥㈳㐲㠴敦㔴㈰㍦〷㜸㔱㙢㈸㈶㝦ㅦ戵㐰ㄴ〸㉣ㄴ昹〷昰㔲敦昱㔴㍤晦ㄲ㠹搸㔴㠸ㄵ㔳挴㉦㐱㕣㑢㘸戴ㅢ㉣㜸㄰〰愹㌰〴昱摥ㅡ㝡㠷㡢㝥㐵㡡㌱扤㌴㑣改捤攵㠶ぢ㔰捥ㄹ挳捤㉥ㄲ㠹㡥戱〵挸㐳〹攷〵愲㐴㔴㐲ㄷ㤱挳挰晤㥦㐳っ㜹㑤改㜵㍡㈶㈹ㅥ㌵㕡挸敥㔹㑢㔵㤲㈱㍥㕡㔰戳㄰扣㔹㔰㤰㝤扦〹扣㡤㌷ㅣ㌹㜳愹㉡㌰ㅢ㔴搲㑢㕡扤攳ㅥ攰㥥㑦㔵ㅥ晡搴㐶㤷搶㐱㌳㘷昰㑥ㄱ㥡㌷昴敤捦昸㌰挰捥㔶挰晢挲挵㌳㐳攰㐸㈲㥣㈵愱收㐹㥦㘷昱㔶づ㠲㝢㘸㠱戳ち㜱㙥㈹昷敦㍤攲扥㝢改ㅥ敦㠹㤵㍣搴戲㤸摣㙤愸㝥ㅥ〰〹㔹ㅢ戵ㅦ㜲㈷㉤㉤㤹戵〳〹愷㠴㔷㜳㈹㡥㈸戳㠵挷〱搷挷愵㍡摦㜴戴㜱敢攴愰㠶㝤ㅢ㠰㉡㌷搳㙡つㄶ㌲戹㘲搶㔴㘸慣㈴戳ㄵ㈸㕢ㄴ昳愵㕥愴〵㜳㌵て㕦㐲愶っ攲㔹㕡改㤲㜵攱㘷㌴昹㠷㘰慢ㄲ㜶愸㈳㈵敦㐳㠸㔳搳㡢敦㘹ㅢ㙢㔳㈸戴愴㝣搵愰㕥㐵㐱戴搵㐴㔱愶搱昲㌶㙢敦㔵㍢㉥㤲㙤挸ㄹ㜲㜸愶㡢㐴敤戲㠳愸㐵㌱㑦ㄸ㘷㈰昸㜴ㅤ㤸㜴㠱㍢㠴㤵捣扡昷㙦㍤愰扦昲昰㜱攷㠷㍤㔴㌵㤸〱㐱㙢㉣㑦挹㌱㘵〹㔳㜸㤴㘷慦㜸昹〰㈶㘸慢攵㈱㑣摥て㈲㘸戴攵搹〶捡㉡挰扡㥦㠷晦攴㔸㜷㐰㤵㐰㈵て㠴ㅥ㘲㕤㌱〸㔲挲㐹昰愲㑦ち㐰㍥〸慦晣〲㠸搸つ㔲㈷挳㐳捣昰㐵㄰㡤㠶扦㙡㐱㌳愷つ㤳㤵㙢㜹攲挰㘴㥥㜸ㄸ摢㔴挷㠵㌰㙣戴㠰㘷㝡㔳㜲て慢㝤ㄸ攴㤵㤷㕦㈶㐲㡢㠹㘱㤰㔲晢㑡挷〶㐰敥㑢㠸㤶㌴㙢ぢㅡ昳搶攰ㄷ㔸㈱ㅥ㠵愷㐵㔹㈱挲搷㐷㘶挰㘵摡昴ㄴ㤷昵挷攰㕢㕥㜹昶㉤㘵㐵㑡㉣㐶扥㐷㑥扦㠲㠶㐰挵晣挷攱ㄱ戴〸〶捣ててㅡ㝦㠲㠸㤳㌳㥦㤶㐳昲㕢㍥ㄹ㝡ㄴ昳㘹㍥㉣㡤つ摥ㄲ昳扦っ慦晣ち㠸㌸っ㔲㈷挳㔷㤹攱㙢捣㘰㠰㄰挱敢㝦ち㔲㐶挶㔷搵㐳挶㕦㐷ㄶ㈰㘳ㅡㅣ㑢㜵㔲㡢㠶挸昸捦攰㤵㑦㠱㠸〲㐸㤹愱摦㐰愸㑤㌱戴晣扡㉡㘰改㈴㔲〲㤶晥㌹㝣㉢㉡㔹㕡捥㡣戴㕡愶搲戸愸㤸晡㌴㍣挲〵愹㘰敡㌳㠸㌸㌹㔳㘹㡤㔴㑣㝤㌶昴㈸愶搲㈴㔹ㅡㅦ扣㈵愶㍥〷慦晣㑢㄰㐱㜳㘵㥤っ捦㌳挳㌷㤹㠱ㄶ㑣挵搴㙦挱㔳㘶敡挶㝡㑣晤㙢㘴〱㔳㘹挴㉣搵㜹ㄶ㘳㠲㔵晡〲扣昲〴㠸愰㠵㐳昵昵挵搰挳㠰㜶㈷㐸昵攱慢收㘰捣搳㌴〰㈴㡥挸㈳晥㑣づ㘶〹㝡㜹ㄸぢ㝣摣㐶㐱㌲㡥㠸㡥ぢ搵㤲愸扥㐸㥢㉤㝢〹慡㙡㕡㔶昵㍡㐸ㄵ㘳捡ㅤ昸㘹㔷挳㜶㍡㘷㜹㜶扡晣㔴㠰㘵攸昴㙦㠳㉣摢㙢㘷㜰愷敥㔸㝥晢〸㙣㙥敤㝣㙤㘵㠱㡦扤摡㘶搴㔸户㑤づ㉣㔱攰㙢摡㈹扥㍥㐸ㅤ㉤㌸挷ち慡㌷㥡挷㐷㘷㡡㕦㡤㡤㙣㈶㠵㥦㜲ㄷ㠲㡢改㑦挱换挲昲㈵㤰㤶㠶昴㕤㉡〹㐶㘲ㅥ㜹改搲㍣摦搲愵敦づ扥㌱㡤攷挲㔳㍤㜰戲㙥㌱㉥㌲㈲㉢捣㐴㘳㘳捤㐱愴收愰㍡晢㌶㐴搷㈵捡㙡㔷㘱挸搵愷㤷晡㠵㉡㌹捡挲㑡晥晥㍤㍣昲㘵㤰㔴晡㌸㈸㍢愴扦〲戲愴㙦晢ㄸㅥ㉣㐴摦㐵攸摦㐱㝣㌳攲㤵㜲㍤㠸㌷㘱晡慢㠸㘹㐵㑣挴㌲愷晦〳攲捥㐲㕣攵慢收㌴捦挲㡡㤵㔷挳愳摥昵〶㉦㝣㕦㐳㔰攳愱愸㝡ㄸㄱぢ㕡攴㄰搶㠸㥣改挸挹㔸㌱攴㉣敢㐰搱挸攱敤昴㌰攰㤹捦愸挵愰搴ㄳ〱㐸㍥改㕡㔰㐳戸攱㐶㑥㐹㌵て㉡愷㌲ㅣ㥢㝡ㅢ戴㌰㠸㤰搲㍡㑥扡㘰㑡慤搴㕦㌰㈹昹㡦攸㈷攱〴て慦㙡攳㝣ㄷ㥥㤲ㄳ㍣㘶搵挴㙡㠴㠴愷㡥㍦㔹㝥㈹戶㘷昸攷ㄳ㌴㌸㜶攴〰挵㑦挱扥晢㍡㥢㈷攴慣改㠳㔰㤰〶㈹昲㡤㌰㤹敢㕦㄰搲摣㐹捦挵㘰っ㐵ㄲ晣㌱晤㥦㐰收㤴㌳攲㐲㘴愳慣愹㤴ㄵ㐴㍢㙡㠱晦㌳㍣㤰ㄵて攲㐳㤷晥㐲昰㡤愵〹㘵攸搲㕦っ扥戱戶㠷攱㘱㉤㝡ㄸ㜱挶㍥㘹挲ㄶ戵挱戹㐵㈵㜷慥攴挶㑣㍦㔲㡡㕦挲㈸摥戹换㜷㐰挴攳㈴っ㝤㍦昴㌰㈰㠸㌹ㄴ㜷㔶㐶戸㈳㈹㠵㈹㜰挵㡡扡㡣㈰昲㔰㡣昸ㄱ㍣㘰〴㔱〶㕤晡㉢挱㌷㤶㈶慣愰㑢㝦㉤昸挶〴㈱〳〵愷㔸㡥㉡㈹搴㔴㕦摥㐵㡣㝣て㈴㤵㈶㙡㔰㤵㔲㌸〵攳㔱㈳㔳㠳㈲㥡㔰㠹㑡戶慣㘴づ昵搲晢挷昰〹愵昸ㄹ昵ㄳ㠶㑡扦㘷攰㔱㈳㑢搵ㅤ㔹戲敥挸愸晥㔵㍢晦〵て㐶㐶㔵㑦㤷愶扡愷㑢㔳户搳愵愹摦改〴昵戶ㅡ㤹ㅥ㡥㉣㡥〸昹㍦㈴ㅦ㠰愴搲㉦㠰捥㌹戲ㄳ愵㐴㌵戲搵㉣搵㑥挲㜳㕤㥡ㅡ㕥㤵搴㄰㙡㘹搰㕥㐲昸㘳㜳㥢戲㈲㐲扡〳㈷扥㡡㜷挵㍢昰㑥㜸㠶㍤㙢㠰摤㌸戰戶㈶攲㔷㉦慣㉥捡㌳㥥昳昹搳晥晢㘷搸㔶ぢ慦㠷昳㔵挶〱慣㜱ㄵ㝥戲ㄱ昱㙤㔴㕤ㅡ㝥㔵㥢攷晤ㅥ挴搱㙤㔳㌴㤶っ扦改㙤㙤搴㜳慡挴㡤㘲昵昱㕥敤慤㕢慢摦ㄱ慣㔷敥㠵㥥挰慣㜰㙦㡦愰㜶㑡攳愷摥〵㐴慥挴㝦㠲㘱搵扤ㄲ晦㜱㤸㔰晤㌲㑦㔰㙣㜲㌴戲〵㤴㍢㤳扦㜴㐹㜶ち㈵戸㤸㍣ㅢ挳攴㌷㐰搴っ户愱㔰㑢㠳愰㘸攱㉣㡢昷搱っ㔹慢戸㜱ㄶㄲ挵㍢捣㡦㕦搰搳㔱晡戸㘶挴扢㜳昵昴摦挲㠴敡搷ぢ㘹㑡〰搵攸㌹㐱愳摣挶慡搱ㅦ㐶ㅢ㍤ㄷ㠹㙤摣愰愷㌷〵摣捤昳㑥挱搳ㄷ摣晥敥㠱愷㥦敦戹敤㝢㕢㘷慥㝦散挵ㅥ挱㑤㕣ㅥ㔸昹㔵挲扦捣㌵戰户挳㠴敡㔷〹㘹ち〰㌵戰㔵挱挰戸㡢搵挰摥㡡づ㙣㌵〷挶晤挹㜵㜵捡㙢ぢ㜹攱㤶㙤㙢攳愶㔶㈵攷㕡㘳㔷㍥扢愶慤改愹㝦敤㌹㍣㌵㝣挱昲㥢㝥搰昳㤹敥㘳㔷慣㕥㠵㘳扡摡搳㈸㕤扤搶摥㥣㙢愰㙦㠴〹㌵慦て㈸て㑥昶晡㈰昲挷ㄳ㙤㘸㔴戳〸昴㥢慣㈰㥡㕢㔸㤹㤲㜳ち㈵㌷攳㙥搰挵㥦㉦っ攱づㅣ㌷㠲昸㝢戰㄰摣攱㙥㥣㐷散搲敤㤳㔴㈱ㄶ搶慤㘱ㄷ搷㔱㡤搶愰〷㘳㘹㌶㠹攷搷㍥㕥㤶ㄶㄶ〳㉥挳戹㈵㐱㔱㠷㉤挸㍦㜹㠸搷㍤㌲㕣㠲攴㙡㘳㐳〴㤱㤶昹㔱㌲㤸挵㜹愵戸㌰㔴愶慦挱㝣搵扤㈵㑦㠸搷㌱挷〱搶戸㉤昶愱敡㜴㉣ㅥ㤳㤷愱㠰㝥㌹㐸〳㌰扡ㄲ㉢㈰㈹搹㠱㤸挰㔲戳㤶㔹㌵㡡挹敡搱昱ㄴ户㤳挳慦晡攳㠲愶㈶づ戹攴搲㤴㔲㙡慦㕣挱㍡㍢㐹慥〴㐹〹㑡㈲慥㉦扤ぢ攴㙣ㅣ〵昰ㄷ㙦ㅥ晦㘰㘹搲㌵愷昰㔷㤳戸攲㡦㡢㔷㑢扤㝥㜷摤戹攵㕥慦㐳〹㐹挹㈴ㄴ晢搹攳つ㡣㘲㘷ㄵ㠹〹㡡㌲昶㝡攴摥㘷戶晤敦晡ㅢ㝢〵㘵㤰㙡敥㉡㜸收戰愶㈴挴㑢愵昶㘲㔱㉥㙤㐶ㄱ㝤ぢ㐸㈵㤷慥㐶㑣戴㑤㑡㌲戶㔹㜲㠲攲㐱戵㜹つ㍣㜳㥡ㅢㄲ攲㠵扡慤㝥ㅣ㠵㈴㕢㉤捦换㌶㐶㐵㐶㐹ㄱㄳ㙤㔱攳㝣㥥昲㙡㘳搵ぢ㠴挷摢㔱㔶㜰㤵戰づ搹ㄷ㝡ㄸ㄰㥣㘷㈵っ㥦挳愸愸㕡慥㐱㙣㌲慥ぢ捥扤㑡㜸㌶㑣愰戹㉣㠹㡢㌰慥〷㤵昰㑣㤸㐰挵㉢〷㄰㉢㌸搳ㅣ㤳摣挵㄰㈷ㄹ晦昱戲㌳昴㌰㈰㌸㍢㉡捦㙥挶㜲㔲ㄸ㉤昷㠴ㅥ〶〴㜹愹昲っ㌱㤶㙣㘴戴摣ㅢ㝡ㄸ㄰㙡㑣㡣摤挷㘰攸搲ㅣ㥢㕡扦挳昰戴㌴戴戱㕢搷㈱㌱㍥㉤㌲㠷戳㠷て晦戴㉤搱扥㌲㜱晤戶收㝢摦晡扢户㡦扦昶㠹慤㍦昸攰晥晢㕦㝢攷昸换ㅦ㍣㌷扥昵摢て㍤㜴㘲昷〳㉦扦扤挴㝡㌰晥㡤㥦づ㍤㜸㑢昷搱㕢㙥戶づ㕤㍥㜰换慦摣㜴愰㝢晦㔹ㅤつつ㡤㡤㙢㤶晥敤㡡㑢搳户摤晣戴昸慢敦㥤㔳㄰㙡愴㘸㘰㔶㠱戳㈷㘹㡥㔸㜵攳㠰敡㠶㔰㘳㘵慥㡡捥㜲捣㉡搷㐸㤰㑢㡤戶㈶ㄷ㐷慤㜲ㅤ㔲戹搲愵㉡〴㠷愸㈶攲㠹㜰㈲戶愳㙣ㄲ㜷㡣㙣㔴㈵㍣㕥㤵挰㜶㔴挲㘳㔵〹慣㕡㈵㍣㕡㤹搰昴㝦㠹扣敡ㄴ</t>
  </si>
  <si>
    <t>Decisioneering:7.0.0.0</t>
  </si>
  <si>
    <t>㜸〱捤㔸捤㙦ㅢ挷ㄵ攷㉥戹换㕤㝥搸㡣㘳㍢戶㘳挷㙣攱戶㜶攴㌰愲㘵㌵㑡㕡挳ㄶ㤷㤶慣搴㤱攴㤰㤶〳ㄴ挱㘲挹㥤ㄵ㈷摡摤㘱㘶㤶㤲㤸〲〹㔰戴㘸㉥㐹㉥扤戴㍤攵ㅦ㈸㡡〲改愱㐵㠱〲〵ち攴ㄲ攷㤰㔳㥢ㄶ㜰㠱ㅥち昴㕣昴搲㈶敦捤㉥㘵㤲愲ㅢ㔹㔱〰て挸攱捣扣㤹㌷㙦摥扣昷㝢㙦㤸㔲㔲愹搴㘷㔰昰ㄷ㑢〶ㅢ愷ㅢ㝤ㄱ㤱愰㘲㌱摦㈷敤㠸戲㔰㔴收㌹㜷晡㌷愹㠸搲㌰㐱户㈹搰㠵㘶ぢ晡〶㌱散㑤挲〵㑣搲㔲㈹挳㌰㔵愰㈳ㄳ晣㤶〶ㅤㄳ㔷ㄵ㌲㔰㌵慤摡㑡敢㌵攰摡㠸ㄸ㈷ㄷ换㙢昱摡㉢搵㙡愵㕡戹㕣㥤㥥慥㑣㕦㉣㕢㍤㍦敡㜱㜲㈵㈴扤㠸㍢晥挵昲㙡慦攵搳昶昷㐸扦挹㌶㐸㜸㠵戴愶㘷㕡捥攵戹敡攵搹㔹敦昹攷攷ち戰㜵㙡搵慡摤㈰㝥ㄷ昸ㅤㄴ㔷ㅤ戸㉥㕢戵㔵㑥扣㠳攲愹愱㈲慡㜵搲愶愸㌱㐲㌸つ搷㉢㔶つ㍥㐳㕡㠱摥㜳㤵㤵㐶㠳㠴㠲㐶㜴㤳㐶㝤㍣㥦ㄹ慣戴㕢㙢㡥摦㈳㝡㈰㐵㌲㠲㌵㠷㉦㍢〱㈹〶户〵㜹搹〹搷〹昶戴㘰戱㐷摤っ摣㘴晡挲愴㡤ㄲ㈵㔵㔶慣㥡搵㜱㜸㈴㔹攲〶捦㑥㥡㉤㜷慡っ㠹㈲搷挸㔱㔴㡦㤲㑦㙣㐵敥㠹㔲㘶戱㌲愰搲㑤愸㑥㉤昲㍦扥敦搱㌶㉢扢愴㉣昰㐰㉤敡㔳搷㜱换㔵㈵昳㙦㌰扣攱昵㜹㔸愰摡㡥㙡户㔴扢慤摡慥㙡ㄳ搵昶㔴㝢㕤戵㍢慡㑤㔵晢㌵搵摥㠰㌹㠳㘲㘴戳㙡㔲晥㜰攲㔷户㝦㍤㍢户昲挳㕢㝦扢昶搶摤㥦扥㕦㐰㕥换㜰挴捡㌲㠹づ挸ㅥ㌴㍣摡摥㔵㕡㠰搹㕡㄰摦㐸㥤㠸戶㠹搷戵ㄴ扡㘴㕢㠷ㄶ㕣㘳㈱戰㔸ㄸ㤱敤愸敥㐴㑥㌶㔸㜵㌸〹㈳ㄳ㈶㑤挹㔵㜱ぢ㔷ㄶ攵搸㘰㜵㉥改〱㠷㤲㙣づ㜱挹换㠱㤸㤳〲ㅥ㤸捥挴戵愱㑦昲改ㅢ㡥攸㐴㑥换㈷攷挶㙥ㅥ昵〶挶㜶㍢愲扥愸〰换㐵捥㝡㕤搴攸㐱昱㤱昶㡣昶愱ㄷ愱㤲〸㠴扦戰挱㌵昳㄰晣攴㑣㈴㥡㐸㐴㜴㠲ㅦ㈸〳㕡攱〸㜴㐰挴㍡ぢㅣㅡㅥ搰攵ㄶㅥ〷愶户ㄲ㘳慥㜳㘷ぢㅣ昳㍥敢㑢ㄵ挰愵扤㈰ㄳ〰㤳㌷敢㍤攷㔵慢敥散戴㌳攳㘸攸〹て敢㔸㐷㘱㑤㈱戸㐳㐳㤷㙤㐹㑦㍢ㄲ㠰〳㑡挷㙢昶扢㐴づㄵ扣愶挳搷〹㜸㉦㕦慡ㅦ昵㉣挶㌹昱㥤㠸戸㜲〰㠱晡㠹搱㐱戱挰㔹㠰攳愷㙢㡥㈰昷扤㜸捡㡢㌷慡戱㕥攸㡡㈷㈷ㄳㅢㄱ戰㍥㌵㑥扢捦㘴搷戲〶㈰ㅢㄱ㔲搲愷挶㤷㐹攳㥦摦愶㌱昹捣ㄸㄹ戰㡤戵ㅥ㑣㕤攰攴昵ㅤ敡㉥㠹收㈱㕡㙤ㄲ愴敦㍡㘵㑣㡡攵㉡㕢ㅤ〶㘰㈴挵㥢ち㔶㘹㝢㠳昰〶挱㔸㐷㕣㜹搴㘳㐸㈲攰㡦㙤㈲愶㔶㔰昵〰慥敥搷㠷㐷扤敢摢ㄱ〱㙦㜶㐱㕥〸㍡㔱扦㠹㥥㜴㝣㘴㑡扣㈷㄰㑥㡥っ㉦戰㜶㑦愰搷㜲收㡦㔲收摤㑤〷昶㜴㕦㘲㉥挹㘴搴㜴㉡㤳捡㘰㠱㘸㥡㑥㠳㉢㑦㡦㌹慡㡣ㅣ挸㕢っ㐳昴㤰攵㈰㐶捦散㘹搱愸㜹攱扡㐹㤰戱㤳〶㈸㈷㐶㝤愵昲㌲㘸て戴攴ㄳ㜴㈴㜵ㅣ㔱㠶〴扤㙦㌵戸挹㐴㍣㡤㑦㌴愴㌳戴㕢㥣㝤晥挱㐷㤱㙣㜷㉣攳慢㥤慣慡㡦㈷愷扦扥〹㤸㝤挳〹㕤㥦昰晦慦㉦㤴挸㐴捦㌶㡦㘱㜵ㅣ慡㕣㑡晢㈷愰摢〳㌵㠹昹㤲戲慤昴戵㉤敡㐶ㅤ扤㐳攸㝡㈷㠲㌱㐸戳っ〳搵㝣㉦昹ㄶ㘱收ㅡ收㕡收〹慣㑥㐲㤵换攵㘲晣搴㜳收㤳戲㥦捡㈰戲㑥ㄲ㜲㈷づ㘰㠰换摤㘴㡥扢攰戴㈱㍤换㈶挹㤹㘱戱愰ぢ搱㠹㤷㜰愶〵戶〹㌶扦㐹㕤挲つㅣ㘸㐰ㄲ㤸㠱摣㑣攸搲戳〵㠴㥤㜴㑡搳昲挶愴扤㤶〶扣捥㈵ㅡㅣ㑥㌲㤷㜶昱晦搷慤戹慢㜸戰㕣づㄳ㈷昳㌴㔶㘷愰搲㔰㤳て敤つ㠷㘱搱昱愰搱㘱㕢㌷㐰㤵㐴挴戹㡦戰㌸㡤㥥搸㍤っ㘱搴〹㑥捡昱㐵㑥〰〰㜹ㄳ㜰㐰㥥ㄱ㔷㥣㥡㐸㤱㡢㑥㐹㘳ㅣ㜲挳㈹㙦㡤㤲㉤〴敦戳扢㐹㤰扣㔹㍤ㄱ㌱ㄹ昵㥦摡㑤慦戳㘵ㄶ搵愹攸晡㑥晦摣〴㜲㑣戹搳㈱㈱㘰ㄷ〷〸晢愲㐹慣摢㈵敥〴ㄹㅢ慣挷摢㘴愹晥㈸愰ㅦ摣㔴㕣ㄴ〹㝣㡡愱攸慡〲㘵㝦㡥愷愰㑢愴㝥㜰昴㤷㡢昷摥昸搱㔵〳攰㔴〱〷〱ㄷ搱搰ㄹ昷〳㤰㤸㥦ㄴ㐷挲昲㌱捣挲㕦㠲㤷ぢ敤晡愴收㜰㌰㙣挶㠵ㄹっ㥡戱攱つ㘵搲戱户㍣ち捡㠶㈸ㄳ挷㤷捡㠳昱㜵㐸㜰㘹㠳㘸捣㠸㘹捡搱戱㐰㈰捦㡤攸戴捦扢搲晥づ㤸昸㤰㠲攰㘳㌳扢㠹㐹戵㙤㐳㤲ち㍤㉣㡡㜶て㔸㑤㤴て愱㌵ㄳ攲㙢㐹慥捡㙤㠴㙣㉢㤴㤲㙢〲㜳ㅤ㘴㘸㘶戳㜸㡣ㅣ㝣㘵㤹ㅤ㤸㑤㑡㐳昴㥥㥡愴慢㌸㈷摤㜹捥㉤戹㄰ㅥ㤲昷㕢〱摦㙦㑤㑥攴㈳捤㤰ㅤ㔰㘱㌱戸挳昸㐶㡢戱つ㝣㈹ㅣ㤲㍤搱㈱㈴挲〷㔵㍥㠸㕦㠵搸〶摢㑦愷㐷㕥㑢㠹摥㤱㠸ㄹ戱捣㤶昵慦㐱㉢扤挰摢戲愷晣ㄵ捥㡦慦慣㡦㝥昲㤷㜷攸搵㝦扣昸〱㕤搴㍥㜹昷敥〹攵搳㠴昰摤て㝦慣晤㙥捡㥢㝦晢㠳㍦晤晣㤵戳摦㕥搱㌰㠰散㈹㜸㤷㘰攲㘱㙦〷扢㥡㌴昲㐹摥㡢㑤〳摢㠶〷㘸〴㠹㤵㥢昵㥡ㅤ㌸㜵扤攸㉤㜲敡晡㌴㈴㘸㍡㤰戲攲攳昳㈶㔹㠷㈴㙡㤵攱㐳㤷㠵㐵慦挹㥤㔰㘰慣〹摢晤㈳㈳㍤改㉤㥡㔷愳愱㠰㙤㈴㕥㘲晢戰㠷㜰づ㌷搷ぢ挲㐵愷㉢ㅥ〵㜷㤲晦㝤㠰㝡愰挴攰愵㉡慡慡ㄸ慡戱㑦㡦㐸改摦〰㔶㡦㐹て㑣㥥捦㉦㤴搷㔶㤷㈱捦㔲㈵戲愹㤷㜰慦ㄸ搰㄰改昶㥥㔴愱㥤ㄷ攴摦〹㐹戶㥢㥥ㄴ戴㜷戲㍥㤹挴㝣ㄳ搶㈸㤸㔳㐸㈷昹㔶搲挰㑥〹攳㌳㠶㙢晤㍣㔴㡦㔹㌵㍢戶摦㠱ㅢ攸ㄷ㘰昸㄰って愵㜶㈵っ攷㌲㜷㜹ㅡㅡ昲㥦〳㐵敥㠰扤㡢㔰つ㑡〹㜷㐲扦㌵㥦㠱慡㤸㔶㜰㍥㍡愲㕥㠱慡搴㘴㉥ㄳ㘵ㅦ扦戴挵㤹㌰㜱㔴㝦ㄶ慡昳㤶㈳攴晦て㄰昰㝢㉥㘵㘵挸㕥晡㤰慤戲昲㝣捤㉡㥦扦㌴㕤㥤扢㔰搹昶挵戶昲㜱攲ㄵ㘷摥扢昰改昷晦慣㉣晦晥㌷晦昹挵晦摡㈷摦㔴敥㈶㠴昱扦ㄹ㑡〳〱㌵㤴改㍢㤳㄰㘱㔷㉥㍢㌵晥㜰戸づて㠱㍥㙡㈰つ㐹㤴㈶敤㍣愳扥戰㍦㕥〳㔴挶㡢搲㍥〲愹扦〴ㅦ扣搱㔱㔰㍤ぢ㈳收っ戲挶㙡ㅣ㔸㌱て㕣挰㜳㡣攵慢昹㍣挲㘸攳㘷扦扤昶摦㤹㔷攷昳㥦〳晢㝥㝡㝢</t>
  </si>
  <si>
    <t>㜸〱敤㕣㙤㙣ㅣ挷㜹扥㔹摥ㅤ㙦㡦愴㐸㡢㤲㙤搹㡥㑣挷戱㥤㤸ち㉤捡㔶ㅤ扢㔱㔵㝥㤸㤲ㅣ㑡愴㐵㑡㑥攰ㄸ愷攵摤慣戸搶敤㉥扤扢㐷㠹㡥〱扢㠹ㅤ㌷愹摤〰㘹ㄳ挴㠹昳〱㈳〸㤰㍦㘹㠳㈰㑥搲攴㑦搱〲〹ち〷㈸㤰攴㐷㠱晥㜰㠲愲〱㤲愰㄰搰㍦晥㘱㈰㝤㥥搹摤扢摤㍢摥㤲㍥摢㉤㕤㜰散㝢㌹㍢㕦㍢㌳敦攷扣敦慣㜲㈲㤷换晤ㄱ㠹㝦㤹昲捣摣戴戴攱〷搲㥥㤸㜱敢㜵㔹つ㉣搷昱㈷愶㍣捦搸㤸户晣愰てつ㡡ㄵぢ昵㝥愱攲㕢㑦挸㔲㘵㕤㝡㍥ㅡㄵ㜲戹㔲㐹搷㔰捦㐱昸ㅢ㠹ㅦ㜴昶ㅡ捣〳㉣捦㑣㉦慣㍣㠶㔱㤷〲搷㤳㠷挶捥㠷㝤㡦㑤㑥㑥㑣㑥摣㌳㜹昸昰挴攱㐳㘳㌳㡤㝡搰昰攴㌱㐷㌶〲捦愸ㅦㅡ㕢㙣慣搴慤敡㐷攴挶戲㝢㐹㍡挷攴捡攱扢㔷㡣㝢㍥㌴㜹捦搱愳收㝤昷㝤㘸㄰慦捥㥤㤹㤹㕥昴愴改扦㑤㘳ㄶ㌸攵㝢㘶㘵搵攲摡愴昴㉣攷攲挴捣㌴晥㑦捣ㅦ㑦昷㑥㉣慤㑡ㄹ昰搵搲㤳㑥㔵晡㍡㍡づ搸㔳扥摦戰搷戸㜹扡㍤㠷愵㔶つ㍦㈸搸㌳戲㕥搷敤㜸搴㤲扤㠰扤慢ㅢㅢ㠳昶㤲㜴㝣㉢戰搶慤㘰愳㘸㉦㘳愰摡㤰㝤捥㤷㘷つ攷愲㍣㘳搸戲㘰㥦㘸㔸戵㝣㤸㜲㝤㜷挴㐳㈴㈷愶㤶㍦㌱攵摢㌳慢㠶愷㘶攴㜳㘳㌲摡捥㜹搵㜴摢㕢扢㡦换愹慢㌷㜰捣摢扡户㐳捤㜹挳㙢戶ㅣ敦摥㌲㕡㝣㝡〶㜷㜵㙦㥦搸愳㜴㥦て㜴敦愳戶㌲摤㕡っ㐴昴慤㜶ㄴ㡢搱㡢〴晤〴㈵〲㈲㔰㉦ㄳっ㄰っ〲㠸晣㝦㠳㑢㤲ㅤ㔹愵㔵っ慤戲愲㔵慡㕡愵愶㔵愴㔶㌱戵捡㐵慤戲慡㔵㉣慤昲㤸㔶戹㠴㌶㜱㉡昵昷㙢㔱㍡㜸攲晢戵搵扦戸㙢敥昹㤹摦㤹扦昸昱〷㍦㍢戸〷㡤ㅥ㡡㈶㌵敢ㄹ㤷㐱㙡㉤㉡㍥㌲〱㥥搸づ㔷㠰㈹捣愳收扤收攴㘴敤攸㘱攳㙥愳挰㘵㘵㈰㍦㐵㈸㈳㘸㍢㘸㍥㙣㌹㌵昷戲挲摤㑤搳㠶㉦㕢ㅢ㌷ㅥ搵㑤扢つ愷收摦戸㜹攵㔲㘰〴昲㠶昶扡搶㈰ㅤ摤㤶挰㔶搲㔷敦㍢搸摥敤扣㔱㙦挸愹㉢㔶㔸晤㥥戶㙡㝢搱㜳㔷扡搷捥㜹昲昱㘶㙤挷㡣愶㈰搴搶搵搸ㅤ慢っ慢挲㜹㡤捤慣扡扥㜴搴昴挶敤㐵慢㝡㐹㝡㑢㤲㈲㔱搶搴㔲昷戳㉡攲晡昱〵〷ぢ〵户搶摥㥢㉣㌵ㅦ戸ㄲ㠰㤹㘵つ昳㕤㤳㕥戰戱㙣慣搴攵戵愹㈶攱㍢㔱㜱㈰㔵㍣攷㔶ㅢ晥㡣敢〴㥥㕢㑦搷㑣搵搶つ㐸㥡摡㘹户㈶昳昹㥣ㄲち㄰戸㝤㝤㐲攴敥散捥ぢちㄱ〹ㄴ㤳㤱慦㑦㤳摤挴㔹慣づ慢愸㑢搲愴昶扥㉤〶攳㝣㤵㡣挹攰挰挴㥡愸㍦昸搲昷㙦㌱㙣ㄳ㜳敦㙣㘳㑤ㅢ㡤㔶晦挰扡㜴㠲㤳㠶㔳慢㑢㉦㔳晢〹捥㐸ㅦ〶㈸㕣㠵㐰攸扡㝢㔴㜵攲㡡搸㈸㕣戶㙡挱㙡㜱㔵㕡ㄷ㔷〳㤴㐱㐳㤶㑡摣摡㡥愴㕦㠳㈲㝤㉦挱㈸㐰戹㥣㉢敥㘳愳㘲ㄹ㈹㔷愰㜴捡攰攵㤴㈰㘷扦ㄴ㉦て㥡㜳㔶㍤㤰愱㔰ㅥ㌶㠱㤱㔰慢㈹昴つ㤱㐴㍤愳ㅡ㉡㡣㝤收っ愸搴戰㥣㘰愳挵户ㅤ㕣ㄲㄲ搱慥㉣搸㜱戲㠰愲㈰㉤て㌲㜸つ㐴搳㈶つ戲ㅢ㈷㠸㠸㙣㤰愱搹㌱㜲㥡挸搸㍥㐳㐶愰㝤㤲〸搹晡㜰㜷ㄹ㐱㘲敦㈴㔲㜶敡捡㡦扢搲㙣㌳㕢㍥㤴㘶晢戱㜱晡戵〴搷ㄱ㕣㑦㜰〰㐰晣㈷㈴ㅣ愵ㅣ昲改愴摦㠸㘷晤㈶㠲昷〰㐰㍥改㤴㌹㤱愸愲つ戵ㅤ㍢㤲敤㠶㘰㈷㉢愳㌸ㄴ㐵戴㡣㥢㜶收㤰慤㄰ㅤ㔹㥤㍢㐳搷收㤵㡥扤扤㍢㙤㈶㤷㐳㡡捣㘸㥡㕣敢ㄶ㑤㤳ㅢ挱愶㍤敡慤㥢搱㔵ㅦ㈳戸〵愰慣扦㤷㄰捡㠵〶敦昶㉣㝡㥡㤴敦ち戳㈸㌴㠶㝡㔴昰ㄱ㈱昳〸㤰㈱攴㍡㡥㉦扢㌶㌴捤挱㜱昳㕤㙦㐳ㅦ敡捥摦ㄱ搲摢昴收慥摥愱扦攸㑤㕡搱户㠲扤挴扦㜷搵㌱户愱㕡扦㥤攰づ㠰㌶ㅤ挳搳昷㥢昵ㄴ㈸戳搸㑥㘰㙥㉦扤㉥捡捡㕤摥㔸㤳㑡〳つ㥡换㠶㜷㔱〶昰㘰㥣㥡㠵㉤散㝡㥥慣攳㔰㕢㔳〵㍣扦㕣㤷㉥昴攷㍣搷㘶昹慥㡤散扦㉢ㄴ㐳㍥慦昵攵摡㙣攴っ㕢㌳攱㜳㑡㔰づ㜵昰摤摤㠵㐴愲㔳㥡扣搸㉦晢㝣戹㉢㐹㝡㤰㈴ㅦ挰戶敡㜷〲㐰㑡㠸㕦㜵㤵㈸㠷搸散㠳慡㔹摡㘲愵㠷㉦攳㜴搲收㐳散㤰㈳〳愱挳㜶ㅡ晥〳㝦挸㕥戲散愶戰ㄸ戰ㄷ愵㔷㠵㙦挱慡换㜲攸㤶愵愸搹㤵ㄵ敦ㄲ㔹搱搷搷㜱㥥捥昰慦㈹㍡㘹㤳ㄲ㤹摣㥥㔹㤹㜱ㄶ㙦ㄱㄵ摤㤰ㄴ㉡ㄹ慥愱愶〴㈲攵戱敤慥㠸改㐱挴摣㠵㡤搳てㄳ㑣ㄲㅣ〱㈸晣ㅣ㤲㘶扢ㅢ捦㜰㔸晦㍡㕤摡㤵㑡慥㐴㌴㈸ㄷ攱慢㕤㠵搵㔱扥收㑦〸敥〵㘸㌳㝦攸㠰捣㈰㐴㠵昲〴㈱慡㌰㠶㜹摥㤲㤷㐹〳㝢㑣〴㤶㘶ㅡ㝥攰摡㡣㉣つ㤹戳敥ㄹ㌷㤸戵晣㌵㐴愲㐶捤㈸昳昰慡㜴㐰㕤ㅥ㙣㥦戶㌲㜷㙤㑤搶㜴㜳挹㙤㐰戴㥤㥡摤〹〷㜳㙣〷㙣㐹㜵㌶搷〴㔲㙦攷㘳っ㈱戰搳捡摦㑡㙦散戶扣摦㍣昴つ户㜶㜴搹ち敡㜲挰っ㤹㡥昹㤲㠹㕤㐴攴愰搶㙦㉥慦㝡㔲捥づ㤹㈷㍣慢㔶户ㅣ㐹㘴挰挶㘴戰㙥㕥㕥㐴㤴㘰搱㘵っ搰㜵㠶捣㘵捦㜰晣㌵㠳〱挵㡤扤愹㈷ㄵㄶ㈹㤸搳㤶攳攳㌵ち㡢捣て㥢㑢慢敥㘵㐴㙣ㅢ戶㜳挲㔸昳㜷〴㔶㐸昴㘱㔲愸ㄱ㥡搰㌴㔱搲㑡扤攲㠷〷昲㕣㡥扣㤷㈷㔰戸捡ㄵ攸㌳捦搰摥戴敢愳ㄸつ敤㜴捥㘹㄰搱愳㘶㘱㕦愶ㄴ㈶愷敡昷戱捦晤〰て㥥㌸㜷慡ㄵ㤹㝢㑢㌱敢〲扤晣ㄹ㌲㕥㤱㐵㌳㄰㐲ㅦ摤㥥㤰㔴㔸㐶捡〱〷〲攳㝣㙡㈷扦戲愹摡㤰晡昶戴戲㜳㠸㈴つ㥡昳挶㡡慣㈳ㅥ㙤ㅢ挱㥥昰㠱㘶慣㙤搴晤愸㙥挶戵㙤㠳愴㐵戲㕣慡ㅡ愴攰愹㐶攰㥥戶ㅣ摤〴㔰昴ㄷㄵㄹ㔷㔰㘴㕣㔱㐵㠳收㔹㠶〶㔵㥥㘳戹ㄷつ捦ち㔶㙤慢㕡攲〳挳㜷㍢㠲㈶挱攴㤴扣㜱㡡㘵挶㔸㥢㌵㝦づ㈶㥢㍦〱㜴㑦㐰㡥㜲敢㠸㝥㔰慥㈶㡡昸㑦昴攸㔸㠲㠰㔱㥥㔲晤挳ㄸ慤愰㙥㐷㐰攴愸㜴㌵扥㠳㜱昵㈹㤴㠴㐲㠸㔸捦㈰ㄱ㜸〵ㄳ㐲㥥㉥敥愲㜹捥戱〲㘰㡦ㄸ㥢戳㠲㔹ㅦ㈸〷㐰㔶ㅤ㙦㙦㔰㔸㑤㜴ㅡ㙦㙡㠵㥢㍢慢㔲㙡攲㘰㘷㝤㔲㙦扣㙦㤳敡㔰愳㈴ㄴ挹㔶㡤㤴㘶搹㘴㡥㍢㐹搵〸愵戸㘳㙤㈳戲摣愶慤㝤愷ㄴ㜹ぢ㡡㐹搱㑣㑥晦㌳㐵㈸〸昴㐶㍡㡡㍥晢㙣昲㐸㐴㙣㘸〳㤴愹愷挲戲愱㈸㈴㜸ち搷㑥㙡戲ㅣ㍤㠱扦昷㐴搹㠵㐶㤰慡㌱慥㡣㐶㌵㔳昵晡㠲〳㉢愱㙡㜸戵ㅤ挲搲㔸㕢愸㘱ㄴ㜷昶慡晤挳敤㑤㌰㘲挴㠶っ㡢㘴昸㠱挱㠶㘰慥㐴㐴㤵搶搹㄰户扡㔹㕣攲搳㘹㘹㌸ち〳㑢㐱㙤㔶慥㉢㌳慣㘵挹㡦慡づ捤搳愲㤲愳扡㌹戵攲㐳愵〷㤴攳㔱㑥㌱戸㙥㥥愵㕢ち㤷ㄸ㈰㜶愳摣㘲㌵㐰㘸户㌹〰㑦〶㍢〷㍢搸㤱㌰㜴㐲敢㡣ㄲ戴㤸㐱戸改㐵㤰㜷㝡挴㈸〴愹愹搲㝦ㅤㄷ㕦㝥㤱改摢挷㜳㜱㈶㘲㈲㠶扢㌲慣〷㈰㌷ㄹ㤹㈴ㄷ㡤挶〱昳㔰戲㈹愱㌵ㄸ㤷搱挴ㄸ愲挹攷〵戸挵挳㔸搶㌰搹愶㡥㝢㙥㠱〵㙤㕡摦搸㘳㥥㜲慡昵㐶㑤㉡㔵ㅣ换㙡愵㤱㜷〴扥搴ㄵ挰㤰㥢㌲昶㈵摡㤴㔳㌸㑡㜱挹㐴㔲敦㜶户㝥ㅣ摤㤵㤰挳ㄸ愱敡㘳〰㌲挳㉤愷〲㘲ㅤ昷ㄴ㘸ㅦ敥㙤㕤㘰㔰㤷攷㈰搲㍡㡡㈸换收㜱ㅦ慦ㄹ㐵㔶摣㤶㘸㌶敦捥扢戴搹ㄳ㐵㈷慤戰㘸㐷攰〸敢っ〵㕥戱〸㘳愴㐷敥攰㈰戹慢㔱㜴昷敡㔳敡㌱㜷ㄵ愸㔰ㄸ㄰㡣昱昲ㄴ㤴挳慥㠲㤱㘸㜰㙢㉤慢㕢㌰晡㑢换㕢㥦〲㄰っ〳搳愰㐵换搰挰㤹㐱㝥㙢〳攷㘶戴捡㠸㤰㈶㠳愹㡣㔱㡥挲㘱て愴㠱㥢㜸㤰㕥㜶愱㠴㠲㝤敡㘲㔸㝣㌷㜱摣挶ㄱ挸昵慥㙤㉢㕣㌴〲㕣㝦㜱づ戴ㄵ㑦搵㙡㌴㜷攱㥦摢ㄱ㔸挵搵㡤搰ㅣ摤搷㜶㈹㑢慤㠹昶摤慤㙤ㄵ搱㘵挱㈳戳ㄳ㈷㡤愰扡扡ㄴ㙣㠴ㄷ户㝡㈵㠹挲㑦攰㡦搸昴敤戴㤹昳づ㉦愲慥㜳敦换㤷ㅣ昷戲愳收㔵昰㜹敢てㄴ㠲㉢㤴晤㥣㘴㌹昷㐷晣愷㤲㤶㉢晣ㄸ㈳㙥㘷摡ㅣ愰攵㈰攱㌸㉡㠵搲㘰っ昹っ㍡㠱敤摥扣㌵㐰㍡搹搷㐶㈷㑡㄰散ㄲ㡡㜳昱㙤㈳ㄴ昱て㐰㉢㠹㈵㍣㤲㘳捦扦〵搶ㄷ㍦㐲〹ㄱ㡥攷㐸㡣ㄴ㙥㐱㉥〳㜵㑡㤰㐷㔷㍣㜸㈱攴晦て㤶㘲㙥摥㤴㥤晥ㄷ㤸㔹晣戰ㅤ㐵〷㠹愲ㅦ㜴愰㐸昰ㅡ㠸攲摦〷㤱㠹㔳㠱攱搹㌷ㄵ〸攷㥡㜶て愰敦昸㠵摦晦挳〳攸㝣㐴ㅣ捡㐶㐳愸敤㌶㍣㌷㑤㠴扥づㄳ㠱挱㝢㘵㈲㥣㐶㐶㌰㡡ㅦ㥡〸㤱て㘴〱〵㕢㥢〸㡣敤㘵ㄸ㠲㠹㔰㙢挲慤挱ㄳ搸戵㌶晤㘳㈷㜱昱㔶晡㠸攷㐳㘹昹㌳昰㐸㕤搷㔹扣㘸㜸㠶㝤㐰㤵㥦昰㈴㤴㤹户㡣㥢摣慡ぢ㝢摣戰㘹㡤敡戴㠹慦㈲昶戲敦晡㔳戶㜷㝦ㅤ㤸ち㔳攸扥ㄷ㈵㔱㝣ぢ㥥ㄲ挱㜳㐳敥ㄳ晢扥㜳攲搷㑦㍣㜳㥣户搵㈲㕡㉤摣㠹㝣㉦㈱㝢摡ㄳ〸敡㈶㉥㡡散攷㠷㌹愷昱㠹㤲戵㔶㤷搳㠶愷慣㈰㕦户攳㙣㐸㜸〹挲っ㠹㙦㈷㤸㤸戸昷㄰㥡㤸ㄳ㙤敥㑥昵㘱㤳㜲ㄱ㑥㈴㈶慥㝣㝡㜱搸㔰㜴㔵㘴㍤㕡㥢㠵扦㠷㉡㝡㤳ㄳ㐹㕢㠹㍣㜵㌲〹昱㜷敤扡敥㈸㜵㕤㜸㤰㘱搸㍦㤶㔲㠸㍦㤰㐲㤲〷ㄹ㕥〸㔰㔲敡㉣㌲㠵扢〰㌲㈲㙢敤㈱㕥晡〳㜶㠵㠰㙣㕥晡敢昱㈳ㄶ散㈲戰ㄸ晢攲㝢㍤搱搲ㄶ㡤㔵ㄳ㐳戵捡愶㔹㐲㐶ㅤ㕥㔸㌰ㄹ㤷愶㉣㥤㈳㈸摤戶㍢㡡㉦ㄹ戲挳挰㕢挸搸〵㥢扥戶戲晤㠰搳挰捤て攸㤹愲㔲ㄸ捥㕥ㄶ攳㐰慡㘲㜴㘱搳㜲㔸㐴㌸ㅣ㘶㥢㥤〶愲㉡攸㉣攷〰㑥愵〸晥昱㑢㈱搶㡦户㠶摥摦㕥㐳ㅤ攷昴㘳㠱晣挱晥㍡㤸挱搸㜸㉢㌹〶ㄲ㜶㕢慤㑡攱昵昰㜳攸挲㐵攷㠴摥捡慡㘷㜱ㄴ㝦㘲捥敡搳㍡昴㍦愳搷㡡戳捥戳㌷挳搸㈹晤晦㔱ㄴ㙣愹晦〵㘳㙦ち㤱ㅦ㡢㌲㝣㈸㌰㝥戲㘵挸㠶㍢〲捦㌶㠲㌷敡㘰慣慢㉣㐳摥㘱㙥〹ㅦ慦㠶搵㑡㠲挳敦㤵㙦扦ㅡ搱散㑢摢㜶愰慢〰㘴㙣愸昰㉤㠸愰慥晤搳㜲㉢㍥摤ㄶㅦ㐱挷㝤愷慤慡攷晡慥ㄹ㡣㉤㈱攸㍢挶㙦捦㑣搸㍣㔳攲㥢敤㐲敤㔶散挴攰愳攸㜳㘶〱〲晢㡣っ摥慥㔸㈴㈳ぢ摢㡢㘴昰㍢愴㤱㐴㜸㠹摡挱扦挶㝣愸㘱搴昱改敡〲㝣㥤〱㡢㜶㠴戲ぢ㍤捥敤㌷㌴戸㜵戸愳昵ㄱ昸㠳㘴㝤〲挱㌱戵㠴㐷ㅥ攵扥戶敦㐱扡㙤戴㌶㥦㉤㝢昳戹㤵ぢ㉦〳愷摢㝢㑢㥡㘴昸㑥㝥㤱㕣搶㉢㠴戸戴㝦ㅣ㝦户敦愰攵㘸愳愰昳攸㠳㙥㍡挲挶敢㜰㥦㙤㈳晡㝤〱㕤挵ㄴ〱㝥扡ㄱ㘵昸㈰攸攵㈳㉢㡡慦㘱㔹㘴〰攴㜳挵㉡㐰㜷慡㝥㘹㌳慡ㅥ㠹〵戲攰ㄹ㠳攴㔸ㄶ㕦㐱㐳㙥㔷戸㙣戰〴㤷㉤搴㔹〲㜹㍤敥㠱㝣㑥昰㉣愱㈶昲㈵㜴㘸㑥挴㐲㘹昷㠹㝣㜱戳㠹〸㕡〱㙡愱挹昱㐷㘲㉤愲搷㔱慤摢〴づ㠱ぢ㌰㑣戱㐸㔹㔳っ㐳ぢ㍦㈲㘶㤰晥㌵晡晢摡昱㥦扦捡昴㠷攳㐲〹㐲㔴愵㈷㑦㐱愸㈶晦戹攴攴㍤㤴㜶㥦晣ぢ㥢㑤㝥㠴㌲㤲㌳搱〳㠰愱㍥㔱挱ㅦ戵㤸〶㌲摣㐷晥挴〵〲晣㔲戳ㄸ㌱㔰愲晡㕥㐶〶㝤戹攱慡搵ㄵ㘴攲扥〵慥㍦攳攳ㅥ㘵ㅦ昱㈲㈴㝤㌹挵搰ㄹ㕢っ戵㘲挹㡥扣戰㍢㐲㌶㘰㐹晣㕡戶慢㐸㉦昶ㄸ攱ㄷ捦挵㠸㌹㜹㌲晥㜲㑡㡢㘲㑥㈰㡣搰㈲㈵晤㜰㈳挵愷攳挶摦㝤愵攵㌲㐵〵ㄲ愸㈷㙣㑣㍡㔳㡤㥦㡤ㅢㅦ挱㔷㔹慡㑤㡥㌷〸㤸㕥㡢ㅢ㤳ㅥ㔵攳㘷攲挶扦㍦㜲愰搹㌸愶挳㜰攴〲㠹㈴挳搶㔵搶㝦攲ぢ敤㘱㌴㉦㤸搴㥦〳㘶㔸㑣挹愹㐲挷㜵愵㐱〷㜱ㄹ挴挳㌷搲昳戸摢㠴㉢㈰㄰戲攱㍦㤵㜰ち㜷㥥㘶㡤挰挰㈷搰敢〸㌶㝢扡㝡㘲攷愲戹攰愱愰摦㍣攵攳㑣㔵摢㔱㈴〲㜳㈰ㅦ敥敦ㄶ㑥昹っ搳戱戵ㅦ㜱㤰㑣攳ㅤ㤲摥㤴㠷ち慣攴挵㈷㘳捣收㥥㙥搱㡣晥ㄴ㤰〳改〸挸㡣晥㌴㘰ㄸ㠸攱㙤攵摣〸昹㕦㌱昷㈷㔹昱㈹㠲㘷〰捡㠲捣㑥㍡㈸㍥ぢ戰ㅦ㔶㉡晥愹ち㝦慣㈶挷搶㍣戹㡥㝦晡攲㥦扥攷㘸攲㠹昸㤵㐹㘲搲㥦㘳户扦〴攸㠳ㄳ㔷㐴愴㔸搶㍦㠳㤲攴慢㈹㍥搴慢晦㡡ㄵ捦ㄳ扣〰㔰㉥㜰捡摢摥㍢慥慣㐷晤昵搷攸㉡㥥㈶挰㑦晦㕣㤴攱㐳㠱扢昱愷摤㉤㘶ㅥ㠸攳捦晢ㄱ昰㑣㝤挷晦〰扥换摦攰愲晢昰捦㤲ㄴ㤴㜹㥦搷敥敦㙤㉣戲〲㉤㜳昵㕢挳㘶扦㠵㜱戸慥㔶ㅣ㠵㈳㔲戵㤴戴愲㈰搶戹㘰攱攲つ㝣换㌱㔵㈱〴㈹㐱㔵㌸㔱挵㜱ㄴ攸㝦挳愶挴㌱昱愴晦㉤㥦㠸㕡戵㠹㕦㠸㌲㝣㄰挴慢敡晥㔸搴㍤㝥㈱㜱慤㉡慣戶ㄷㄲ晦慡㘲㌵昹挲ㄷ㌹㤸㐲ㄶ㌲㘹摤㐴愴㈹ㅡ晡ち㌲㐳㝤挳㥣摢挳昸㘹㔷㐴昵㐲敤挲㠵搷㠷昳㘳㌷攴㍦晡攷㠳㉦扥昶㉦扦昹晣㉦㍦㝥散户㙦扣昴搲㉦晦攳昳慦扥昱㤳㤵㘳㍦㝤昹攵㝦㝥昰敢慦晥㘶慦昹つ敤㤵搷攷扦昱攴攴愵㈷ㅦ㌷捦摤㜹攲挹㡦㍤昶搰攴攲㌵攳㝤㝤晤晤㜷㡣晥散晡昷㡦㍣晤昸て挵㍦晥摢㜵㡥㔰换挵ぢ搲搳攰戲搵㌴扥㡡っ愶挱ㄹ扦愳搳攰㜲搵㐶慤㐴ㅢ㌵㡤㠲ㄲ㍣ㅢ㥣㠰慡㌰搲ㄵ〳晦〳㌶〳戵㐱</t>
  </si>
  <si>
    <t>Años 2021-2026</t>
  </si>
  <si>
    <t>FCL, VPN, TIR y VAS</t>
  </si>
  <si>
    <t>RESUMEN VPN + VAS</t>
  </si>
  <si>
    <t>SALDO</t>
  </si>
  <si>
    <t>CAPITAL</t>
  </si>
  <si>
    <t>INTERÉS</t>
  </si>
  <si>
    <t>ABONOS</t>
  </si>
  <si>
    <t>MES</t>
  </si>
  <si>
    <t>CUOTA MENSUAL</t>
  </si>
  <si>
    <t>Tasa interés /mensual)</t>
  </si>
  <si>
    <t>Tasa interés (e.a.)</t>
  </si>
  <si>
    <t>PLAZO (meses)</t>
  </si>
  <si>
    <t>PRÉSTAMO</t>
  </si>
  <si>
    <t>https://www.metropol.gov.co/ambiental/Paginas/consumo-sostenible/incentivos-tributarios.aspx</t>
  </si>
  <si>
    <t>https://www.mintrabajo.gov.co/documents/20147/61442830/Cartilla+Beneficios+Tributarios+Poblaci%C3%B3n+Vulnerable+2021.pdf/ff5ca8b9-c03e-0335-a911-e4ccb0098e98?t=1628011283125</t>
  </si>
  <si>
    <t xml:space="preserve">Empresa de innovación, ciencia y tecnología, contratación de más de 3 empleados en situación vulnerable, importe de equipos para reciclar sin IVA, proyectos que reducen gases de efecto invernadero sin IVA, deducción de la base hasta un monto que no supere el 20% de renta liquida </t>
  </si>
  <si>
    <t>son acumulativos? Ciencia y tech no supere 25% del imp a pagar, ambiental el20%</t>
  </si>
  <si>
    <t>https://minciencias.gov.co/viceministerios/conocimiento/direccion_transferencia/beneficios-tributarios/cuales-son</t>
  </si>
  <si>
    <t>https://www.portafolio.co/internacional/proponen-precio-minimo-al-carbono-para-frenar-emisiones-de-c02-553137</t>
  </si>
  <si>
    <t>economicos</t>
  </si>
  <si>
    <t>sociales</t>
  </si>
  <si>
    <t>ambientales</t>
  </si>
  <si>
    <t>Préstamo maquinaria</t>
  </si>
  <si>
    <t>ITEM</t>
  </si>
  <si>
    <t xml:space="preserve">Cantidad </t>
  </si>
  <si>
    <t>N de meses</t>
  </si>
  <si>
    <t>Valor mensual</t>
  </si>
  <si>
    <t>10 años</t>
  </si>
  <si>
    <t xml:space="preserve">Alquiler de la bodega </t>
  </si>
  <si>
    <t xml:space="preserve">Valor de salvamento </t>
  </si>
  <si>
    <t xml:space="preserve">Maquina Pelletizadora </t>
  </si>
  <si>
    <t>Mantenimiento maquina pelletizadora</t>
  </si>
  <si>
    <t>Autoclave + Cortadora</t>
  </si>
  <si>
    <t>Dispositivos de recolección</t>
  </si>
  <si>
    <t>Maquina separadora de partes</t>
  </si>
  <si>
    <t>Empresa recolectora de tapabocas</t>
  </si>
  <si>
    <t>Marketing (cada 4 meses)</t>
  </si>
  <si>
    <t>Operativos</t>
  </si>
  <si>
    <t>Salario administrativos (VP Comercial, VP Mercadeo, VP Operacional, VP Financiero, VP RRHH, VP Alianzas)</t>
  </si>
  <si>
    <t xml:space="preserve">Servicios publicos </t>
  </si>
  <si>
    <t>costos</t>
  </si>
  <si>
    <t>gastos</t>
  </si>
  <si>
    <t xml:space="preserve">Precio de venta por Kg de Pellets </t>
  </si>
  <si>
    <t>tapabocas mes</t>
  </si>
  <si>
    <t>botella</t>
  </si>
  <si>
    <t>botellas semana</t>
  </si>
  <si>
    <t>Empleos generados</t>
  </si>
  <si>
    <t xml:space="preserve"># Convenios generados </t>
  </si>
  <si>
    <t># Clientes</t>
  </si>
  <si>
    <t>Alianza con puntos autorizados</t>
  </si>
  <si>
    <t>*residuandes inside en los lugares</t>
  </si>
  <si>
    <t>Contribuyentes a la sostenibilidad a través de residuandes</t>
  </si>
  <si>
    <t>botellas mes</t>
  </si>
  <si>
    <t>tapabocas desechable por persona mes</t>
  </si>
  <si>
    <t>personas botella año</t>
  </si>
  <si>
    <t>personas botella mes</t>
  </si>
  <si>
    <t>personas mes</t>
  </si>
  <si>
    <t>botellas por punto semana</t>
  </si>
  <si>
    <t>botellas día</t>
  </si>
  <si>
    <t>botellas por punto mes</t>
  </si>
  <si>
    <t>recicladores bogota</t>
  </si>
  <si>
    <t>recicladores beneficiados (10%)</t>
  </si>
  <si>
    <t>*inicialmente se regalan luego se procesarán o venderán</t>
  </si>
  <si>
    <t>Botellas de plástico recicladas</t>
  </si>
  <si>
    <t>Tapabocas reciclados que no llegaron a rellenos sanitarios, fuentes hídricas o calles de la ciudad</t>
  </si>
  <si>
    <t>indicadores mes</t>
  </si>
  <si>
    <t>Kg que se evitaron producir de polipropileno nuevo para elaboración de productos plásticos</t>
  </si>
  <si>
    <t>m3 de agua por kg de polipropileno</t>
  </si>
  <si>
    <t>https://repository.ean.edu.co/bitstream/handle/10882/9874/CerdaIvan2020.pdf;jsessionid=E45B6204B39D30356CA0CB8554C4752A?sequence=1</t>
  </si>
  <si>
    <t>Dignificación del reciclador</t>
  </si>
  <si>
    <t>M3 de agua ahorrados en la producción de polipropileno</t>
  </si>
  <si>
    <t>Kg de CO2 que se evitadaron en la producción de polipropileno</t>
  </si>
  <si>
    <t>https://plataformazeo.com/es/cuanto-co2-emite-el-plastico/</t>
  </si>
  <si>
    <t>Utilidad neta prom anual</t>
  </si>
  <si>
    <t>Valor estimado</t>
  </si>
  <si>
    <t>Inversión inicial</t>
  </si>
  <si>
    <t>Tiempo de recuperación de la inversión</t>
  </si>
  <si>
    <t>t=3</t>
  </si>
  <si>
    <t>t=4</t>
  </si>
  <si>
    <t>4 años</t>
  </si>
  <si>
    <t>VAS</t>
  </si>
  <si>
    <t>Rentabilidad/Ventas - Primer año</t>
  </si>
  <si>
    <t>Rentabilidad/Ventas - Años posteriores</t>
  </si>
  <si>
    <t>Valor</t>
  </si>
  <si>
    <t>Rubro/Indicador</t>
  </si>
  <si>
    <t>Valor anual</t>
  </si>
  <si>
    <t>Valor mensual agrupado</t>
  </si>
  <si>
    <t>Subtotal (costos+gastos)</t>
  </si>
  <si>
    <t>Préstamo compra PPE</t>
  </si>
  <si>
    <t>Manto y bodega PPE</t>
  </si>
  <si>
    <t>Aliados recolección y mercadeo</t>
  </si>
  <si>
    <t>Personal Operativo</t>
  </si>
  <si>
    <t>Personal Adiministrativo</t>
  </si>
  <si>
    <t>Abono préstamo</t>
  </si>
  <si>
    <t>Depreciacion PPE</t>
  </si>
  <si>
    <t>Cálculos Indicadores</t>
  </si>
  <si>
    <t>Servicios</t>
  </si>
  <si>
    <t xml:space="preserve">COSTOS-GASTOS-INGRESOS </t>
  </si>
  <si>
    <t>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</si>
</sst>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 #,##0_-;_-* &quot;-&quot;_-;_-@_-"/>
    <numFmt numFmtId="43" formatCode="_-* #,##0.00_-;\-* #,##0.00_-;_-* &quot;-&quot;??_-;_-@_-"/>
    <numFmt numFmtId="164" formatCode="&quot;$&quot;#,##0;[Red]\-&quot;$&quot;#,##0"/>
    <numFmt numFmtId="165" formatCode="&quot;$&quot;#,##0.00;[Red]\-&quot;$&quot;#,##0.00"/>
    <numFmt numFmtId="166" formatCode="_(* #,##0_);_(* \(#,##0\);_(* &quot;-&quot;_);_(@_)"/>
    <numFmt numFmtId="167" formatCode="_(* #,##0.00_);_(* \(#,##0.00\);_(* &quot;-&quot;??_);_(@_)"/>
    <numFmt numFmtId="168" formatCode="_(* #,##0.00_);_(* \(#,##0.00\);_(* &quot;-&quot;_);_(@_)"/>
    <numFmt numFmtId="169" formatCode="0_ ;\-0\ "/>
    <numFmt numFmtId="170" formatCode="_(* #,##0.000000000000000000000_);_(* \(#,##0.000000000000000000000\);_(* &quot;-&quot;_);_(@_)"/>
    <numFmt numFmtId="171" formatCode="_(* #,##0.00000_);_(* \(#,##0.00000\);_(* &quot;-&quot;_);_(@_)"/>
    <numFmt numFmtId="172" formatCode="_(* #,##0.000000_);_(* \(#,##0.000000\);_(* &quot;-&quot;_);_(@_)"/>
    <numFmt numFmtId="173" formatCode="0.000000%"/>
    <numFmt numFmtId="174" formatCode="_-* #,##0.0_-;\-* #,##0.0_-;_-* &quot;-&quot;_-;_-@_-"/>
    <numFmt numFmtId="175" formatCode="_(* #,##0.0_);_(* \(#,##0.0\);_(* &quot;-&quot;_);_(@_)"/>
    <numFmt numFmtId="176" formatCode="_(* #,##0.000_);_(* \(#,##0.000\);_(* &quot;-&quot;_);_(@_)"/>
    <numFmt numFmtId="177" formatCode="&quot;$&quot;#,##0.00"/>
    <numFmt numFmtId="178" formatCode="_(* #,##0.0000_);_(* \(#,##0.0000\);_(* &quot;-&quot;_);_(@_)"/>
    <numFmt numFmtId="179" formatCode="_(* #,##0_);_(* \(#,##0\);_(* &quot;-&quot;??_);_(@_)"/>
    <numFmt numFmtId="180" formatCode="_-* #,##0_-;\-* #,##0_-;_-* &quot;-&quot;??_-;_-@_-"/>
    <numFmt numFmtId="181" formatCode="_-&quot;$&quot;\ * #,##0.00_-;\-&quot;$&quot;\ * #,##0.00_-;_-&quot;$&quot;\ * &quot;-&quot;??_-;_-@_-"/>
    <numFmt numFmtId="182" formatCode="_-&quot;$&quot;\ * #,##0_-;\-&quot;$&quot;\ * #,##0_-;_-&quot;$&quot;\ * &quot;-&quot;??_-;_-@_-"/>
    <numFmt numFmtId="183" formatCode="0.0%"/>
    <numFmt numFmtId="184" formatCode="0.0"/>
    <numFmt numFmtId="185" formatCode="&quot;$&quot;#,##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u/>
      <sz val="11"/>
      <color theme="10"/>
      <name val="Calibri"/>
      <family val="2"/>
      <scheme val="minor"/>
    </font>
    <font>
      <u/>
      <sz val="11"/>
      <color theme="11"/>
      <name val="Calibri"/>
      <family val="2"/>
      <scheme val="minor"/>
    </font>
    <font>
      <i/>
      <sz val="9"/>
      <color theme="1"/>
      <name val="Calibri"/>
      <family val="2"/>
      <scheme val="minor"/>
    </font>
    <font>
      <i/>
      <sz val="11"/>
      <color theme="1"/>
      <name val="Calibri"/>
      <family val="2"/>
      <scheme val="minor"/>
    </font>
    <font>
      <b/>
      <sz val="11"/>
      <color rgb="FFFF0000"/>
      <name val="Calibri"/>
      <family val="2"/>
      <scheme val="minor"/>
    </font>
    <font>
      <sz val="11"/>
      <name val="Calibri"/>
      <family val="2"/>
      <scheme val="minor"/>
    </font>
    <font>
      <b/>
      <i/>
      <sz val="11"/>
      <color theme="1"/>
      <name val="Calibri"/>
      <family val="2"/>
      <scheme val="minor"/>
    </font>
    <font>
      <b/>
      <sz val="11"/>
      <color rgb="FF000000"/>
      <name val="Calibri"/>
      <family val="2"/>
      <scheme val="minor"/>
    </font>
    <font>
      <b/>
      <sz val="11"/>
      <name val="Calibri"/>
      <family val="2"/>
      <scheme val="minor"/>
    </font>
    <font>
      <i/>
      <sz val="11"/>
      <color rgb="FFFF000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1"/>
      <color indexed="8"/>
      <name val="Calibri"/>
      <family val="2"/>
    </font>
    <font>
      <sz val="11"/>
      <color theme="1"/>
      <name val="Arial"/>
      <family val="2"/>
    </font>
    <font>
      <b/>
      <sz val="11"/>
      <color theme="1"/>
      <name val="Arial"/>
      <family val="2"/>
    </font>
  </fonts>
  <fills count="12">
    <fill>
      <patternFill patternType="none"/>
    </fill>
    <fill>
      <patternFill patternType="gray125"/>
    </fill>
    <fill>
      <patternFill patternType="solid">
        <fgColor rgb="FFFFFF00"/>
        <bgColor indexed="64"/>
      </patternFill>
    </fill>
    <fill>
      <patternFill patternType="solid">
        <fgColor rgb="FFDDEBF7"/>
        <bgColor indexed="64"/>
      </patternFill>
    </fill>
    <fill>
      <patternFill patternType="solid">
        <fgColor theme="6"/>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s>
  <borders count="17">
    <border>
      <left/>
      <right/>
      <top/>
      <bottom/>
      <diagonal/>
    </border>
    <border>
      <left/>
      <right/>
      <top/>
      <bottom style="thin">
        <color auto="1"/>
      </bottom>
      <diagonal/>
    </border>
    <border>
      <left/>
      <right/>
      <top style="thin">
        <color auto="1"/>
      </top>
      <bottom style="double">
        <color auto="1"/>
      </bottom>
      <diagonal/>
    </border>
    <border>
      <left/>
      <right/>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right/>
      <top style="thick">
        <color indexed="64"/>
      </top>
      <bottom/>
      <diagonal/>
    </border>
  </borders>
  <cellStyleXfs count="81">
    <xf numFmtId="0" fontId="0" fillId="0" borderId="0"/>
    <xf numFmtId="167"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8" fillId="0" borderId="0" applyFill="0" applyProtection="0"/>
    <xf numFmtId="0" fontId="19" fillId="0" borderId="0"/>
    <xf numFmtId="9" fontId="19" fillId="0" borderId="0" applyFont="0" applyFill="0" applyBorder="0" applyAlignment="0" applyProtection="0"/>
    <xf numFmtId="0" fontId="4" fillId="0" borderId="0" applyNumberFormat="0" applyFill="0" applyBorder="0" applyAlignment="0" applyProtection="0"/>
    <xf numFmtId="181" fontId="1" fillId="0" borderId="0" applyFont="0" applyFill="0" applyBorder="0" applyAlignment="0" applyProtection="0"/>
  </cellStyleXfs>
  <cellXfs count="228">
    <xf numFmtId="0" fontId="0" fillId="0" borderId="0" xfId="0"/>
    <xf numFmtId="166" fontId="0" fillId="0" borderId="0" xfId="1" applyNumberFormat="1" applyFont="1"/>
    <xf numFmtId="166" fontId="0" fillId="0" borderId="0" xfId="0" applyNumberFormat="1"/>
    <xf numFmtId="166" fontId="2" fillId="0" borderId="2" xfId="0" applyNumberFormat="1" applyFont="1" applyBorder="1"/>
    <xf numFmtId="166" fontId="2" fillId="0" borderId="0" xfId="1" applyNumberFormat="1" applyFont="1"/>
    <xf numFmtId="166" fontId="0" fillId="0" borderId="1" xfId="0" applyNumberFormat="1" applyBorder="1"/>
    <xf numFmtId="166" fontId="0" fillId="0" borderId="0" xfId="2" applyNumberFormat="1" applyFont="1"/>
    <xf numFmtId="166" fontId="2" fillId="0" borderId="0" xfId="0" applyNumberFormat="1" applyFont="1"/>
    <xf numFmtId="166" fontId="0" fillId="0" borderId="0" xfId="2" applyNumberFormat="1" applyFont="1" applyBorder="1"/>
    <xf numFmtId="166" fontId="0" fillId="0" borderId="1" xfId="2" applyNumberFormat="1" applyFont="1" applyBorder="1"/>
    <xf numFmtId="166" fontId="3" fillId="0" borderId="0" xfId="0" applyNumberFormat="1" applyFont="1"/>
    <xf numFmtId="166" fontId="0" fillId="0" borderId="0" xfId="0" applyNumberFormat="1" applyAlignment="1">
      <alignment horizontal="left"/>
    </xf>
    <xf numFmtId="166" fontId="2" fillId="0" borderId="3" xfId="0" applyNumberFormat="1" applyFont="1" applyBorder="1"/>
    <xf numFmtId="1" fontId="2" fillId="0" borderId="1" xfId="0" applyNumberFormat="1" applyFont="1" applyBorder="1"/>
    <xf numFmtId="166" fontId="2" fillId="2" borderId="0" xfId="2" applyNumberFormat="1" applyFont="1" applyFill="1"/>
    <xf numFmtId="166" fontId="2" fillId="0" borderId="1" xfId="0" applyNumberFormat="1" applyFont="1" applyBorder="1"/>
    <xf numFmtId="166" fontId="6" fillId="0" borderId="0" xfId="0" applyNumberFormat="1" applyFont="1" applyAlignment="1">
      <alignment horizontal="right"/>
    </xf>
    <xf numFmtId="166" fontId="6" fillId="0" borderId="0" xfId="0" applyNumberFormat="1" applyFont="1"/>
    <xf numFmtId="166" fontId="7" fillId="0" borderId="0" xfId="0" applyNumberFormat="1" applyFont="1"/>
    <xf numFmtId="1" fontId="8" fillId="0" borderId="1" xfId="0" applyNumberFormat="1" applyFont="1" applyBorder="1"/>
    <xf numFmtId="166" fontId="9" fillId="0" borderId="0" xfId="0" applyNumberFormat="1" applyFont="1"/>
    <xf numFmtId="168" fontId="0" fillId="0" borderId="0" xfId="0" applyNumberFormat="1"/>
    <xf numFmtId="166" fontId="2" fillId="0" borderId="0" xfId="0" applyNumberFormat="1" applyFont="1" applyAlignment="1">
      <alignment horizontal="center"/>
    </xf>
    <xf numFmtId="166" fontId="2" fillId="0" borderId="4" xfId="0" applyNumberFormat="1" applyFont="1" applyBorder="1"/>
    <xf numFmtId="9" fontId="2" fillId="0" borderId="0" xfId="3" applyFont="1" applyBorder="1"/>
    <xf numFmtId="9" fontId="2" fillId="0" borderId="5" xfId="3" applyFont="1" applyBorder="1"/>
    <xf numFmtId="166" fontId="2" fillId="0" borderId="6" xfId="0" applyNumberFormat="1" applyFont="1" applyBorder="1"/>
    <xf numFmtId="166" fontId="2" fillId="0" borderId="7" xfId="0" applyNumberFormat="1" applyFont="1" applyBorder="1"/>
    <xf numFmtId="166" fontId="2" fillId="0" borderId="8" xfId="0" applyNumberFormat="1" applyFont="1" applyBorder="1"/>
    <xf numFmtId="166" fontId="2" fillId="0" borderId="9" xfId="0" applyNumberFormat="1" applyFont="1" applyBorder="1"/>
    <xf numFmtId="166" fontId="2" fillId="0" borderId="10" xfId="0" applyNumberFormat="1" applyFont="1" applyBorder="1"/>
    <xf numFmtId="166" fontId="2" fillId="0" borderId="11" xfId="0" applyNumberFormat="1" applyFont="1" applyBorder="1"/>
    <xf numFmtId="9" fontId="2" fillId="0" borderId="0" xfId="0" applyNumberFormat="1" applyFont="1"/>
    <xf numFmtId="9" fontId="0" fillId="0" borderId="0" xfId="0" applyNumberFormat="1"/>
    <xf numFmtId="9" fontId="0" fillId="2" borderId="0" xfId="0" applyNumberFormat="1" applyFill="1"/>
    <xf numFmtId="9" fontId="0" fillId="0" borderId="0" xfId="3" applyFont="1" applyBorder="1"/>
    <xf numFmtId="10" fontId="2" fillId="0" borderId="0" xfId="3" applyNumberFormat="1" applyFont="1" applyBorder="1"/>
    <xf numFmtId="10" fontId="0" fillId="2" borderId="0" xfId="0" applyNumberFormat="1" applyFill="1"/>
    <xf numFmtId="10" fontId="0" fillId="0" borderId="0" xfId="3" applyNumberFormat="1" applyFont="1"/>
    <xf numFmtId="10" fontId="0" fillId="0" borderId="0" xfId="3" applyNumberFormat="1" applyFont="1" applyBorder="1"/>
    <xf numFmtId="9" fontId="0" fillId="0" borderId="0" xfId="3" applyFont="1" applyFill="1"/>
    <xf numFmtId="10" fontId="0" fillId="2" borderId="0" xfId="3" applyNumberFormat="1" applyFont="1" applyFill="1" applyBorder="1"/>
    <xf numFmtId="166" fontId="0" fillId="2" borderId="0" xfId="0" applyNumberFormat="1" applyFill="1"/>
    <xf numFmtId="167" fontId="0" fillId="0" borderId="0" xfId="1" applyFont="1"/>
    <xf numFmtId="166" fontId="10" fillId="0" borderId="0" xfId="0" applyNumberFormat="1" applyFont="1"/>
    <xf numFmtId="0" fontId="2" fillId="0" borderId="0" xfId="0" applyFont="1"/>
    <xf numFmtId="0" fontId="0" fillId="0" borderId="0" xfId="0" quotePrefix="1"/>
    <xf numFmtId="168" fontId="0" fillId="0" borderId="0" xfId="3" applyNumberFormat="1" applyFont="1"/>
    <xf numFmtId="10" fontId="1" fillId="0" borderId="0" xfId="0" applyNumberFormat="1" applyFont="1" applyAlignment="1">
      <alignment horizontal="right"/>
    </xf>
    <xf numFmtId="10" fontId="0" fillId="0" borderId="0" xfId="3" applyNumberFormat="1" applyFont="1" applyAlignment="1">
      <alignment horizontal="right"/>
    </xf>
    <xf numFmtId="166" fontId="0" fillId="0" borderId="0" xfId="0" applyNumberFormat="1" applyAlignment="1">
      <alignment horizontal="right"/>
    </xf>
    <xf numFmtId="2" fontId="1" fillId="0" borderId="0" xfId="0" applyNumberFormat="1" applyFont="1" applyAlignment="1">
      <alignment horizontal="right"/>
    </xf>
    <xf numFmtId="1" fontId="2" fillId="0" borderId="0" xfId="0" applyNumberFormat="1" applyFont="1"/>
    <xf numFmtId="169" fontId="2" fillId="0" borderId="0" xfId="2" applyNumberFormat="1" applyFont="1" applyBorder="1"/>
    <xf numFmtId="168" fontId="0" fillId="0" borderId="0" xfId="2" applyNumberFormat="1" applyFont="1"/>
    <xf numFmtId="168" fontId="0" fillId="0" borderId="1" xfId="2" applyNumberFormat="1" applyFont="1" applyBorder="1"/>
    <xf numFmtId="170" fontId="0" fillId="0" borderId="0" xfId="2" applyNumberFormat="1" applyFont="1"/>
    <xf numFmtId="171" fontId="2" fillId="0" borderId="0" xfId="0" applyNumberFormat="1" applyFont="1"/>
    <xf numFmtId="172" fontId="2" fillId="0" borderId="0" xfId="0" applyNumberFormat="1" applyFont="1"/>
    <xf numFmtId="173" fontId="2" fillId="0" borderId="0" xfId="3" applyNumberFormat="1" applyFont="1" applyBorder="1"/>
    <xf numFmtId="10" fontId="2" fillId="0" borderId="0" xfId="0" applyNumberFormat="1" applyFont="1"/>
    <xf numFmtId="2" fontId="0" fillId="0" borderId="0" xfId="0" applyNumberFormat="1"/>
    <xf numFmtId="10" fontId="9" fillId="0" borderId="0" xfId="3" applyNumberFormat="1" applyFont="1" applyFill="1"/>
    <xf numFmtId="1" fontId="0" fillId="0" borderId="0" xfId="3" applyNumberFormat="1" applyFont="1" applyFill="1"/>
    <xf numFmtId="166" fontId="0" fillId="0" borderId="12" xfId="0" applyNumberFormat="1" applyBorder="1"/>
    <xf numFmtId="1" fontId="0" fillId="0" borderId="0" xfId="0" applyNumberFormat="1"/>
    <xf numFmtId="10" fontId="0" fillId="2" borderId="0" xfId="3" applyNumberFormat="1" applyFont="1" applyFill="1"/>
    <xf numFmtId="10" fontId="0" fillId="0" borderId="0" xfId="3" applyNumberFormat="1" applyFont="1" applyFill="1"/>
    <xf numFmtId="2" fontId="0" fillId="0" borderId="0" xfId="3" applyNumberFormat="1" applyFont="1" applyFill="1"/>
    <xf numFmtId="9" fontId="0" fillId="0" borderId="0" xfId="3" applyFont="1"/>
    <xf numFmtId="166" fontId="2" fillId="0" borderId="12" xfId="0" applyNumberFormat="1" applyFont="1" applyBorder="1"/>
    <xf numFmtId="166" fontId="12" fillId="0" borderId="12" xfId="0" applyNumberFormat="1" applyFont="1" applyBorder="1"/>
    <xf numFmtId="166" fontId="3" fillId="0" borderId="0" xfId="0" applyNumberFormat="1" applyFont="1" applyAlignment="1">
      <alignment horizontal="left" indent="3"/>
    </xf>
    <xf numFmtId="166" fontId="8" fillId="0" borderId="0" xfId="0" applyNumberFormat="1" applyFont="1"/>
    <xf numFmtId="166" fontId="13" fillId="0" borderId="0" xfId="0" applyNumberFormat="1" applyFont="1" applyAlignment="1">
      <alignment horizontal="left"/>
    </xf>
    <xf numFmtId="166" fontId="13" fillId="0" borderId="0" xfId="0" applyNumberFormat="1" applyFont="1"/>
    <xf numFmtId="166" fontId="8" fillId="0" borderId="0" xfId="0" applyNumberFormat="1" applyFont="1" applyAlignment="1">
      <alignment horizontal="left"/>
    </xf>
    <xf numFmtId="166" fontId="8" fillId="0" borderId="13" xfId="0" applyNumberFormat="1" applyFont="1" applyBorder="1"/>
    <xf numFmtId="10" fontId="2" fillId="0" borderId="8" xfId="0" applyNumberFormat="1" applyFont="1" applyBorder="1"/>
    <xf numFmtId="10" fontId="2" fillId="0" borderId="14" xfId="0" applyNumberFormat="1" applyFont="1" applyBorder="1"/>
    <xf numFmtId="1" fontId="9" fillId="0" borderId="0" xfId="3" applyNumberFormat="1" applyFont="1" applyFill="1" applyBorder="1"/>
    <xf numFmtId="2" fontId="9" fillId="0" borderId="0" xfId="3" applyNumberFormat="1" applyFont="1" applyFill="1" applyBorder="1"/>
    <xf numFmtId="2" fontId="9" fillId="0" borderId="0" xfId="0" applyNumberFormat="1" applyFont="1"/>
    <xf numFmtId="1" fontId="9" fillId="0" borderId="0" xfId="3" applyNumberFormat="1" applyFont="1" applyFill="1"/>
    <xf numFmtId="166" fontId="14" fillId="0" borderId="0" xfId="0" applyNumberFormat="1" applyFont="1"/>
    <xf numFmtId="166" fontId="15" fillId="0" borderId="0" xfId="0" applyNumberFormat="1" applyFont="1"/>
    <xf numFmtId="168" fontId="15" fillId="2" borderId="0" xfId="0" applyNumberFormat="1" applyFont="1" applyFill="1"/>
    <xf numFmtId="168" fontId="15" fillId="0" borderId="0" xfId="0" applyNumberFormat="1" applyFont="1"/>
    <xf numFmtId="166" fontId="16" fillId="0" borderId="0" xfId="0" applyNumberFormat="1" applyFont="1"/>
    <xf numFmtId="166" fontId="17" fillId="0" borderId="0" xfId="0" applyNumberFormat="1" applyFont="1"/>
    <xf numFmtId="167" fontId="15" fillId="0" borderId="0" xfId="1" applyFont="1"/>
    <xf numFmtId="175" fontId="0" fillId="2" borderId="0" xfId="0" applyNumberFormat="1" applyFill="1"/>
    <xf numFmtId="176" fontId="15" fillId="0" borderId="0" xfId="0" applyNumberFormat="1" applyFont="1"/>
    <xf numFmtId="43" fontId="9" fillId="2" borderId="0" xfId="3" applyNumberFormat="1" applyFont="1" applyFill="1" applyBorder="1"/>
    <xf numFmtId="166" fontId="15" fillId="0" borderId="12" xfId="0" applyNumberFormat="1" applyFont="1" applyBorder="1"/>
    <xf numFmtId="9" fontId="9" fillId="2" borderId="0" xfId="3" applyFont="1" applyFill="1" applyBorder="1" applyAlignment="1">
      <alignment horizontal="right"/>
    </xf>
    <xf numFmtId="2" fontId="9" fillId="2" borderId="0" xfId="3" applyNumberFormat="1" applyFont="1" applyFill="1" applyBorder="1" applyAlignment="1">
      <alignment horizontal="right"/>
    </xf>
    <xf numFmtId="10" fontId="0" fillId="0" borderId="0" xfId="3" applyNumberFormat="1" applyFont="1" applyFill="1" applyAlignment="1">
      <alignment horizontal="right"/>
    </xf>
    <xf numFmtId="10" fontId="0" fillId="2" borderId="0" xfId="3" applyNumberFormat="1" applyFont="1" applyFill="1" applyAlignment="1">
      <alignment horizontal="right"/>
    </xf>
    <xf numFmtId="2" fontId="9" fillId="0" borderId="0" xfId="0" applyNumberFormat="1" applyFont="1" applyAlignment="1">
      <alignment horizontal="right"/>
    </xf>
    <xf numFmtId="10" fontId="9" fillId="2" borderId="0" xfId="3" applyNumberFormat="1" applyFont="1" applyFill="1" applyAlignment="1">
      <alignment horizontal="right"/>
    </xf>
    <xf numFmtId="2" fontId="9" fillId="0" borderId="0" xfId="3" applyNumberFormat="1" applyFont="1" applyFill="1" applyAlignment="1">
      <alignment horizontal="right"/>
    </xf>
    <xf numFmtId="1" fontId="0" fillId="0" borderId="0" xfId="0" applyNumberFormat="1" applyAlignment="1">
      <alignment horizontal="right"/>
    </xf>
    <xf numFmtId="2" fontId="0" fillId="2" borderId="0" xfId="3" applyNumberFormat="1" applyFont="1" applyFill="1" applyAlignment="1">
      <alignment horizontal="right"/>
    </xf>
    <xf numFmtId="1" fontId="0" fillId="0" borderId="0" xfId="3" applyNumberFormat="1" applyFont="1" applyFill="1" applyAlignment="1">
      <alignment horizontal="right"/>
    </xf>
    <xf numFmtId="166" fontId="9" fillId="0" borderId="12" xfId="0" applyNumberFormat="1" applyFont="1" applyBorder="1"/>
    <xf numFmtId="166" fontId="10" fillId="0" borderId="0" xfId="0" applyNumberFormat="1" applyFont="1" applyAlignment="1">
      <alignment horizontal="left"/>
    </xf>
    <xf numFmtId="166" fontId="7" fillId="0" borderId="0" xfId="0" applyNumberFormat="1" applyFont="1" applyAlignment="1">
      <alignment horizontal="left"/>
    </xf>
    <xf numFmtId="2" fontId="0" fillId="2" borderId="0" xfId="0" applyNumberFormat="1" applyFill="1" applyAlignment="1">
      <alignment horizontal="right"/>
    </xf>
    <xf numFmtId="2" fontId="9" fillId="0" borderId="0" xfId="2" applyNumberFormat="1" applyFont="1" applyFill="1" applyBorder="1" applyAlignment="1">
      <alignment horizontal="right"/>
    </xf>
    <xf numFmtId="166" fontId="2" fillId="3" borderId="0" xfId="0" applyNumberFormat="1" applyFont="1" applyFill="1"/>
    <xf numFmtId="166" fontId="0" fillId="3" borderId="0" xfId="0" applyNumberFormat="1" applyFill="1"/>
    <xf numFmtId="166" fontId="0" fillId="3" borderId="0" xfId="3" applyNumberFormat="1" applyFont="1" applyFill="1"/>
    <xf numFmtId="9" fontId="0" fillId="3" borderId="0" xfId="3" applyFont="1" applyFill="1"/>
    <xf numFmtId="9" fontId="2" fillId="3" borderId="0" xfId="3" applyFont="1" applyFill="1" applyBorder="1"/>
    <xf numFmtId="174" fontId="2" fillId="3" borderId="0" xfId="2" applyNumberFormat="1" applyFont="1" applyFill="1" applyBorder="1"/>
    <xf numFmtId="166" fontId="8" fillId="3" borderId="0" xfId="0" applyNumberFormat="1" applyFont="1" applyFill="1"/>
    <xf numFmtId="168" fontId="2" fillId="3" borderId="0" xfId="0" applyNumberFormat="1" applyFont="1" applyFill="1"/>
    <xf numFmtId="166" fontId="2" fillId="3" borderId="6" xfId="0" applyNumberFormat="1" applyFont="1" applyFill="1" applyBorder="1"/>
    <xf numFmtId="166" fontId="2" fillId="3" borderId="8" xfId="0" applyNumberFormat="1" applyFont="1" applyFill="1" applyBorder="1"/>
    <xf numFmtId="166" fontId="8" fillId="3" borderId="13" xfId="0" applyNumberFormat="1" applyFont="1" applyFill="1" applyBorder="1"/>
    <xf numFmtId="166" fontId="2" fillId="3" borderId="14" xfId="0" applyNumberFormat="1" applyFont="1" applyFill="1" applyBorder="1"/>
    <xf numFmtId="43" fontId="9" fillId="0" borderId="0" xfId="3" applyNumberFormat="1" applyFont="1" applyFill="1" applyBorder="1"/>
    <xf numFmtId="166" fontId="2" fillId="0" borderId="1" xfId="0" applyNumberFormat="1" applyFont="1" applyBorder="1" applyAlignment="1">
      <alignment horizontal="center"/>
    </xf>
    <xf numFmtId="1" fontId="11" fillId="0" borderId="1" xfId="0" applyNumberFormat="1" applyFont="1" applyFill="1" applyBorder="1"/>
    <xf numFmtId="1" fontId="2" fillId="0" borderId="1" xfId="0" applyNumberFormat="1" applyFont="1" applyFill="1" applyBorder="1"/>
    <xf numFmtId="1" fontId="8" fillId="0" borderId="1" xfId="0" applyNumberFormat="1" applyFont="1" applyFill="1" applyBorder="1"/>
    <xf numFmtId="166" fontId="2" fillId="0" borderId="0" xfId="0" applyNumberFormat="1" applyFont="1" applyFill="1"/>
    <xf numFmtId="166" fontId="0" fillId="4" borderId="0" xfId="0" applyNumberFormat="1" applyFill="1"/>
    <xf numFmtId="0" fontId="19" fillId="0" borderId="0" xfId="77"/>
    <xf numFmtId="164" fontId="19" fillId="0" borderId="0" xfId="77" applyNumberFormat="1"/>
    <xf numFmtId="165" fontId="19" fillId="0" borderId="15" xfId="77" applyNumberFormat="1" applyBorder="1" applyAlignment="1">
      <alignment horizontal="center"/>
    </xf>
    <xf numFmtId="164" fontId="19" fillId="0" borderId="15" xfId="77" applyNumberFormat="1" applyBorder="1"/>
    <xf numFmtId="0" fontId="19" fillId="0" borderId="15" xfId="77" applyBorder="1" applyAlignment="1">
      <alignment horizontal="center"/>
    </xf>
    <xf numFmtId="165" fontId="19" fillId="0" borderId="0" xfId="77" applyNumberFormat="1"/>
    <xf numFmtId="164" fontId="19" fillId="0" borderId="15" xfId="77" applyNumberFormat="1" applyBorder="1" applyAlignment="1">
      <alignment horizontal="center"/>
    </xf>
    <xf numFmtId="0" fontId="19" fillId="0" borderId="15" xfId="77" applyBorder="1"/>
    <xf numFmtId="10" fontId="0" fillId="0" borderId="0" xfId="78" applyNumberFormat="1" applyFont="1" applyAlignment="1"/>
    <xf numFmtId="9" fontId="19" fillId="0" borderId="0" xfId="77" applyNumberFormat="1"/>
    <xf numFmtId="177" fontId="19" fillId="0" borderId="0" xfId="77" applyNumberFormat="1"/>
    <xf numFmtId="0" fontId="19" fillId="0" borderId="16" xfId="77" applyBorder="1"/>
    <xf numFmtId="1" fontId="2" fillId="0" borderId="0" xfId="0" applyNumberFormat="1" applyFont="1" applyFill="1"/>
    <xf numFmtId="168" fontId="0" fillId="0" borderId="0" xfId="0" applyNumberFormat="1" applyFill="1"/>
    <xf numFmtId="1" fontId="0" fillId="0" borderId="0" xfId="0" applyNumberFormat="1" applyFill="1"/>
    <xf numFmtId="166" fontId="4" fillId="0" borderId="0" xfId="79" applyNumberFormat="1"/>
    <xf numFmtId="178" fontId="15" fillId="0" borderId="0" xfId="0" applyNumberFormat="1" applyFont="1"/>
    <xf numFmtId="179" fontId="0" fillId="0" borderId="0" xfId="2" applyNumberFormat="1" applyFont="1"/>
    <xf numFmtId="179" fontId="0" fillId="0" borderId="0" xfId="1" applyNumberFormat="1" applyFont="1"/>
    <xf numFmtId="179" fontId="0" fillId="0" borderId="1" xfId="1" applyNumberFormat="1" applyFont="1" applyBorder="1"/>
    <xf numFmtId="180" fontId="0" fillId="5" borderId="0" xfId="74" applyNumberFormat="1" applyFont="1" applyFill="1"/>
    <xf numFmtId="166" fontId="0" fillId="2" borderId="0" xfId="1" applyNumberFormat="1" applyFont="1" applyFill="1"/>
    <xf numFmtId="166" fontId="0" fillId="2" borderId="1" xfId="2" applyNumberFormat="1" applyFont="1" applyFill="1" applyBorder="1"/>
    <xf numFmtId="0" fontId="0" fillId="0" borderId="0" xfId="0" applyAlignment="1">
      <alignment horizontal="center"/>
    </xf>
    <xf numFmtId="10" fontId="0" fillId="0" borderId="0" xfId="0" applyNumberFormat="1"/>
    <xf numFmtId="182" fontId="0" fillId="0" borderId="0" xfId="80" applyNumberFormat="1" applyFont="1"/>
    <xf numFmtId="182" fontId="0" fillId="0" borderId="0" xfId="0" applyNumberFormat="1"/>
    <xf numFmtId="182" fontId="0" fillId="6" borderId="0" xfId="0" applyNumberFormat="1" applyFill="1"/>
    <xf numFmtId="0" fontId="0" fillId="6" borderId="0" xfId="0" applyFill="1"/>
    <xf numFmtId="182" fontId="0" fillId="7" borderId="0" xfId="0" applyNumberFormat="1" applyFill="1"/>
    <xf numFmtId="180" fontId="0" fillId="0" borderId="0" xfId="74" applyNumberFormat="1" applyFont="1"/>
    <xf numFmtId="0" fontId="0" fillId="0" borderId="0" xfId="0" applyAlignment="1">
      <alignment wrapText="1"/>
    </xf>
    <xf numFmtId="0" fontId="0" fillId="7" borderId="0" xfId="0" applyFill="1"/>
    <xf numFmtId="183" fontId="0" fillId="0" borderId="0" xfId="3" applyNumberFormat="1" applyFont="1"/>
    <xf numFmtId="182" fontId="0" fillId="0" borderId="0" xfId="80" applyNumberFormat="1" applyFont="1" applyFill="1"/>
    <xf numFmtId="0" fontId="0" fillId="0" borderId="0" xfId="0" applyAlignment="1">
      <alignment horizontal="center" wrapText="1"/>
    </xf>
    <xf numFmtId="180" fontId="0" fillId="5" borderId="0" xfId="0" applyNumberFormat="1" applyFill="1"/>
    <xf numFmtId="0" fontId="0" fillId="5" borderId="0" xfId="0" applyFill="1"/>
    <xf numFmtId="0" fontId="0" fillId="0" borderId="0" xfId="0" applyAlignment="1">
      <alignment horizontal="center" vertical="center"/>
    </xf>
    <xf numFmtId="180" fontId="0" fillId="0" borderId="0" xfId="74" applyNumberFormat="1" applyFont="1" applyFill="1" applyAlignment="1">
      <alignment vertical="center"/>
    </xf>
    <xf numFmtId="182" fontId="0" fillId="5" borderId="0" xfId="0" applyNumberFormat="1" applyFill="1"/>
    <xf numFmtId="182" fontId="0" fillId="0" borderId="0" xfId="80" applyNumberFormat="1" applyFont="1" applyFill="1" applyAlignment="1">
      <alignment vertical="center"/>
    </xf>
    <xf numFmtId="182" fontId="0" fillId="0" borderId="0" xfId="0" applyNumberFormat="1" applyAlignment="1">
      <alignment vertical="center"/>
    </xf>
    <xf numFmtId="182" fontId="0" fillId="8" borderId="0" xfId="0" applyNumberFormat="1" applyFill="1"/>
    <xf numFmtId="0" fontId="0" fillId="8" borderId="0" xfId="0" applyFill="1"/>
    <xf numFmtId="180" fontId="0" fillId="5" borderId="0" xfId="0" applyNumberFormat="1" applyFill="1" applyAlignment="1">
      <alignment vertical="center"/>
    </xf>
    <xf numFmtId="180" fontId="0" fillId="0" borderId="0" xfId="0" applyNumberFormat="1"/>
    <xf numFmtId="179" fontId="0" fillId="0" borderId="0" xfId="0" applyNumberFormat="1"/>
    <xf numFmtId="0" fontId="4" fillId="0" borderId="0" xfId="79"/>
    <xf numFmtId="0" fontId="0" fillId="9" borderId="0" xfId="0" applyFill="1"/>
    <xf numFmtId="180" fontId="9" fillId="2" borderId="0" xfId="3" applyNumberFormat="1" applyFont="1" applyFill="1" applyBorder="1"/>
    <xf numFmtId="0" fontId="2" fillId="0" borderId="0" xfId="0" applyFont="1" applyAlignment="1">
      <alignment wrapText="1"/>
    </xf>
    <xf numFmtId="0" fontId="0" fillId="9" borderId="0" xfId="0" applyFill="1" applyAlignment="1">
      <alignment wrapText="1"/>
    </xf>
    <xf numFmtId="164" fontId="2" fillId="0" borderId="7" xfId="3" applyNumberFormat="1" applyFont="1" applyBorder="1"/>
    <xf numFmtId="164" fontId="2" fillId="0" borderId="10" xfId="3" applyNumberFormat="1" applyFont="1" applyBorder="1"/>
    <xf numFmtId="9" fontId="2" fillId="0" borderId="0" xfId="3" applyFont="1"/>
    <xf numFmtId="0" fontId="0" fillId="0" borderId="0" xfId="0" applyFill="1" applyAlignment="1">
      <alignment horizontal="right"/>
    </xf>
    <xf numFmtId="166" fontId="0" fillId="0" borderId="0" xfId="1" applyNumberFormat="1" applyFont="1" applyFill="1"/>
    <xf numFmtId="184" fontId="0" fillId="0" borderId="0" xfId="3" applyNumberFormat="1" applyFont="1" applyFill="1" applyAlignment="1">
      <alignment horizontal="right"/>
    </xf>
    <xf numFmtId="185" fontId="0" fillId="0" borderId="0" xfId="3" applyNumberFormat="1" applyFont="1"/>
    <xf numFmtId="179" fontId="2" fillId="0" borderId="0" xfId="1" applyNumberFormat="1" applyFont="1"/>
    <xf numFmtId="166" fontId="0" fillId="8" borderId="0" xfId="0" applyNumberFormat="1" applyFill="1"/>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xf numFmtId="183" fontId="0" fillId="0" borderId="0" xfId="3" applyNumberFormat="1" applyFont="1" applyFill="1"/>
    <xf numFmtId="0" fontId="2" fillId="8" borderId="0" xfId="0" applyFont="1" applyFill="1"/>
    <xf numFmtId="180" fontId="0" fillId="8" borderId="0" xfId="0" applyNumberFormat="1" applyFill="1"/>
    <xf numFmtId="183" fontId="0" fillId="8" borderId="0" xfId="3" applyNumberFormat="1" applyFont="1" applyFill="1"/>
    <xf numFmtId="10" fontId="0" fillId="8" borderId="0" xfId="3" applyNumberFormat="1" applyFont="1" applyFill="1"/>
    <xf numFmtId="180" fontId="0" fillId="8" borderId="0" xfId="74" applyNumberFormat="1" applyFont="1" applyFill="1"/>
    <xf numFmtId="9" fontId="0" fillId="8" borderId="0" xfId="3" applyFont="1" applyFill="1"/>
    <xf numFmtId="0" fontId="2" fillId="0" borderId="0" xfId="0" applyFont="1" applyFill="1"/>
    <xf numFmtId="0" fontId="2" fillId="0" borderId="0" xfId="0" applyFont="1" applyFill="1" applyAlignment="1">
      <alignment horizontal="center"/>
    </xf>
    <xf numFmtId="182" fontId="0" fillId="0" borderId="0" xfId="0" applyNumberFormat="1" applyFill="1"/>
    <xf numFmtId="180" fontId="0" fillId="0" borderId="0" xfId="0" applyNumberFormat="1" applyFill="1" applyAlignment="1">
      <alignment vertical="center"/>
    </xf>
    <xf numFmtId="0" fontId="2" fillId="0" borderId="0" xfId="0" applyFont="1" applyFill="1" applyAlignment="1">
      <alignment vertical="center"/>
    </xf>
    <xf numFmtId="180" fontId="2" fillId="0" borderId="0" xfId="74" applyNumberFormat="1" applyFont="1" applyFill="1"/>
    <xf numFmtId="0" fontId="2" fillId="7" borderId="0" xfId="0" applyFont="1" applyFill="1"/>
    <xf numFmtId="180" fontId="0" fillId="7" borderId="0" xfId="74" applyNumberFormat="1" applyFont="1" applyFill="1"/>
    <xf numFmtId="1" fontId="0" fillId="7" borderId="0" xfId="0" applyNumberFormat="1" applyFill="1"/>
    <xf numFmtId="179" fontId="0" fillId="7" borderId="0" xfId="1" applyNumberFormat="1" applyFont="1" applyFill="1"/>
    <xf numFmtId="10" fontId="0" fillId="7" borderId="0" xfId="3" applyNumberFormat="1" applyFont="1" applyFill="1"/>
    <xf numFmtId="0" fontId="2" fillId="8" borderId="0" xfId="0" applyFont="1" applyFill="1" applyAlignment="1">
      <alignment horizontal="center" vertical="center"/>
    </xf>
    <xf numFmtId="0" fontId="0" fillId="8" borderId="0" xfId="0" applyFill="1" applyAlignment="1">
      <alignment vertical="center"/>
    </xf>
    <xf numFmtId="0" fontId="0" fillId="8" borderId="0" xfId="0" applyFill="1" applyAlignment="1">
      <alignment horizontal="center" vertical="center"/>
    </xf>
    <xf numFmtId="0" fontId="2" fillId="0" borderId="0" xfId="0" applyFont="1" applyAlignment="1">
      <alignment vertical="center" wrapText="1"/>
    </xf>
    <xf numFmtId="0" fontId="0" fillId="10" borderId="0" xfId="0" applyFill="1"/>
    <xf numFmtId="182" fontId="0" fillId="10" borderId="0" xfId="80" applyNumberFormat="1" applyFont="1" applyFill="1"/>
    <xf numFmtId="180" fontId="0" fillId="10" borderId="0" xfId="74" applyNumberFormat="1" applyFont="1" applyFill="1"/>
    <xf numFmtId="183" fontId="0" fillId="10" borderId="0" xfId="3" applyNumberFormat="1" applyFont="1" applyFill="1"/>
    <xf numFmtId="43" fontId="0" fillId="10" borderId="0" xfId="74" applyFont="1" applyFill="1"/>
    <xf numFmtId="0" fontId="20" fillId="11" borderId="15" xfId="77" applyFont="1" applyFill="1" applyBorder="1" applyAlignment="1">
      <alignment horizontal="center"/>
    </xf>
    <xf numFmtId="0" fontId="0" fillId="11" borderId="0" xfId="0" applyFill="1"/>
    <xf numFmtId="180" fontId="0" fillId="11" borderId="0" xfId="0" applyNumberFormat="1" applyFill="1"/>
    <xf numFmtId="9" fontId="0" fillId="11" borderId="0" xfId="3" applyFont="1" applyFill="1"/>
  </cellXfs>
  <cellStyles count="81">
    <cellStyle name="Hipervínculo" xfId="72" builtinId="8" hidden="1"/>
    <cellStyle name="Hipervínculo" xfId="70" builtinId="8" hidden="1"/>
    <cellStyle name="Hipervínculo" xfId="26" builtinId="8" hidden="1"/>
    <cellStyle name="Hipervínculo" xfId="48" builtinId="8" hidden="1"/>
    <cellStyle name="Hipervínculo" xfId="28" builtinId="8" hidden="1"/>
    <cellStyle name="Hipervínculo" xfId="56" builtinId="8" hidden="1"/>
    <cellStyle name="Hipervínculo" xfId="64" builtinId="8" hidden="1"/>
    <cellStyle name="Hipervínculo" xfId="58" builtinId="8" hidden="1"/>
    <cellStyle name="Hipervínculo" xfId="60" builtinId="8" hidden="1"/>
    <cellStyle name="Hipervínculo" xfId="62" builtinId="8" hidden="1"/>
    <cellStyle name="Hipervínculo" xfId="52" builtinId="8" hidden="1"/>
    <cellStyle name="Hipervínculo" xfId="40" builtinId="8" hidden="1"/>
    <cellStyle name="Hipervínculo" xfId="50" builtinId="8" hidden="1"/>
    <cellStyle name="Hipervínculo" xfId="14" builtinId="8" hidden="1"/>
    <cellStyle name="Hipervínculo" xfId="54" builtinId="8" hidden="1"/>
    <cellStyle name="Hipervínculo" xfId="16" builtinId="8" hidden="1"/>
    <cellStyle name="Hipervínculo" xfId="18" builtinId="8" hidden="1"/>
    <cellStyle name="Hipervínculo" xfId="20" builtinId="8" hidden="1"/>
    <cellStyle name="Hipervínculo" xfId="68" builtinId="8" hidden="1"/>
    <cellStyle name="Hipervínculo" xfId="22" builtinId="8" hidden="1"/>
    <cellStyle name="Hipervínculo" xfId="24" builtinId="8" hidden="1"/>
    <cellStyle name="Hipervínculo" xfId="66" builtinId="8" hidden="1"/>
    <cellStyle name="Hipervínculo" xfId="8" builtinId="8" hidden="1"/>
    <cellStyle name="Hipervínculo" xfId="32" builtinId="8" hidden="1"/>
    <cellStyle name="Hipervínculo" xfId="30" builtinId="8" hidden="1"/>
    <cellStyle name="Hipervínculo" xfId="12" builtinId="8" hidden="1"/>
    <cellStyle name="Hipervínculo" xfId="44" builtinId="8" hidden="1"/>
    <cellStyle name="Hipervínculo" xfId="34" builtinId="8" hidden="1"/>
    <cellStyle name="Hipervínculo" xfId="36" builtinId="8" hidden="1"/>
    <cellStyle name="Hipervínculo" xfId="38" builtinId="8" hidden="1"/>
    <cellStyle name="Hipervínculo" xfId="42" builtinId="8" hidden="1"/>
    <cellStyle name="Hipervínculo" xfId="10" builtinId="8" hidden="1"/>
    <cellStyle name="Hipervínculo" xfId="46" builtinId="8" hidden="1"/>
    <cellStyle name="Hipervínculo" xfId="4" builtinId="8" hidden="1"/>
    <cellStyle name="Hipervínculo" xfId="6" builtinId="8" hidden="1"/>
    <cellStyle name="Hipervínculo" xfId="79" builtinId="8"/>
    <cellStyle name="Hipervínculo visitado" xfId="15" builtinId="9" hidden="1"/>
    <cellStyle name="Hipervínculo visitado" xfId="33" builtinId="9" hidden="1"/>
    <cellStyle name="Hipervínculo visitado" xfId="61" builtinId="9" hidden="1"/>
    <cellStyle name="Hipervínculo visitado" xfId="37" builtinId="9" hidden="1"/>
    <cellStyle name="Hipervínculo visitado" xfId="23" builtinId="9" hidden="1"/>
    <cellStyle name="Hipervínculo visitado" xfId="71" builtinId="9" hidden="1"/>
    <cellStyle name="Hipervínculo visitado" xfId="5" builtinId="9" hidden="1"/>
    <cellStyle name="Hipervínculo visitado" xfId="53" builtinId="9" hidden="1"/>
    <cellStyle name="Hipervínculo visitado" xfId="45" builtinId="9" hidden="1"/>
    <cellStyle name="Hipervínculo visitado" xfId="27" builtinId="9" hidden="1"/>
    <cellStyle name="Hipervínculo visitado" xfId="57" builtinId="9" hidden="1"/>
    <cellStyle name="Hipervínculo visitado" xfId="65" builtinId="9" hidden="1"/>
    <cellStyle name="Hipervínculo visitado" xfId="51" builtinId="9" hidden="1"/>
    <cellStyle name="Hipervínculo visitado" xfId="55" builtinId="9" hidden="1"/>
    <cellStyle name="Hipervínculo visitado" xfId="11" builtinId="9" hidden="1"/>
    <cellStyle name="Hipervínculo visitado" xfId="29" builtinId="9" hidden="1"/>
    <cellStyle name="Hipervínculo visitado" xfId="9" builtinId="9" hidden="1"/>
    <cellStyle name="Hipervínculo visitado" xfId="69" builtinId="9" hidden="1"/>
    <cellStyle name="Hipervínculo visitado" xfId="35" builtinId="9" hidden="1"/>
    <cellStyle name="Hipervínculo visitado" xfId="67" builtinId="9" hidden="1"/>
    <cellStyle name="Hipervínculo visitado" xfId="19" builtinId="9" hidden="1"/>
    <cellStyle name="Hipervínculo visitado" xfId="41" builtinId="9" hidden="1"/>
    <cellStyle name="Hipervínculo visitado" xfId="63" builtinId="9" hidden="1"/>
    <cellStyle name="Hipervínculo visitado" xfId="47" builtinId="9" hidden="1"/>
    <cellStyle name="Hipervínculo visitado" xfId="25" builtinId="9" hidden="1"/>
    <cellStyle name="Hipervínculo visitado" xfId="17" builtinId="9" hidden="1"/>
    <cellStyle name="Hipervínculo visitado" xfId="31" builtinId="9" hidden="1"/>
    <cellStyle name="Hipervínculo visitado" xfId="21" builtinId="9" hidden="1"/>
    <cellStyle name="Hipervínculo visitado" xfId="73" builtinId="9" hidden="1"/>
    <cellStyle name="Hipervínculo visitado" xfId="7" builtinId="9" hidden="1"/>
    <cellStyle name="Hipervínculo visitado" xfId="49" builtinId="9" hidden="1"/>
    <cellStyle name="Hipervínculo visitado" xfId="13" builtinId="9" hidden="1"/>
    <cellStyle name="Hipervínculo visitado" xfId="43" builtinId="9" hidden="1"/>
    <cellStyle name="Hipervínculo visitado" xfId="39" builtinId="9" hidden="1"/>
    <cellStyle name="Hipervínculo visitado" xfId="59" builtinId="9" hidden="1"/>
    <cellStyle name="Millares" xfId="1" builtinId="3"/>
    <cellStyle name="Millares [0]" xfId="2" builtinId="6"/>
    <cellStyle name="Millares [0] 2" xfId="75" xr:uid="{9D20A1C2-055A-4E35-BA70-0EE447CD43EC}"/>
    <cellStyle name="Millares 2" xfId="74" xr:uid="{551F13DF-B887-49E5-9326-FAE7A989BB4E}"/>
    <cellStyle name="Moneda 2" xfId="80" xr:uid="{FA9E3674-F2D4-4D51-A69C-4393127E2FB1}"/>
    <cellStyle name="Normal" xfId="0" builtinId="0"/>
    <cellStyle name="Normal 2" xfId="76" xr:uid="{E22DC0BF-F286-43CC-BD45-C4999D4D7ED9}"/>
    <cellStyle name="Normal 3" xfId="77" xr:uid="{CBE28872-E065-4D5A-BB01-B9189276A64F}"/>
    <cellStyle name="Porcentaje" xfId="3" builtinId="5"/>
    <cellStyle name="Porcentaje 2" xfId="78" xr:uid="{C03C43B6-E61A-4E6D-A727-55C1C45FFE8E}"/>
  </cellStyles>
  <dxfs count="11">
    <dxf>
      <fill>
        <patternFill>
          <bgColor theme="5" tint="0.59996337778862885"/>
        </patternFill>
      </fill>
    </dxf>
    <dxf>
      <fill>
        <patternFill>
          <bgColor rgb="FF99E497"/>
        </patternFill>
      </fill>
    </dxf>
    <dxf>
      <fill>
        <patternFill>
          <bgColor rgb="FF99E497"/>
        </patternFill>
      </fill>
    </dxf>
    <dxf>
      <fill>
        <patternFill>
          <bgColor theme="5" tint="0.59996337778862885"/>
        </patternFill>
      </fill>
    </dxf>
    <dxf>
      <fill>
        <patternFill>
          <bgColor rgb="FF99E497"/>
        </patternFill>
      </fill>
    </dxf>
    <dxf>
      <fill>
        <patternFill>
          <bgColor theme="5" tint="0.59996337778862885"/>
        </patternFill>
      </fill>
    </dxf>
    <dxf>
      <fill>
        <patternFill>
          <bgColor rgb="FF99E497"/>
        </patternFill>
      </fill>
    </dxf>
    <dxf>
      <fill>
        <patternFill>
          <bgColor rgb="FF99E497"/>
        </patternFill>
      </fill>
    </dxf>
    <dxf>
      <fill>
        <patternFill>
          <bgColor theme="5" tint="0.59996337778862885"/>
        </patternFill>
      </fill>
    </dxf>
    <dxf>
      <font>
        <b/>
      </font>
    </dxf>
    <dxf>
      <font>
        <b/>
      </font>
    </dxf>
  </dxfs>
  <tableStyles count="0" defaultTableStyle="TableStyleMedium2" defaultPivotStyle="PivotStyleLight16"/>
  <colors>
    <mruColors>
      <color rgb="FF99E4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2638274</xdr:colOff>
      <xdr:row>96</xdr:row>
      <xdr:rowOff>52917</xdr:rowOff>
    </xdr:from>
    <xdr:ext cx="184731" cy="264431"/>
    <xdr:sp macro="" textlink="">
      <xdr:nvSpPr>
        <xdr:cNvPr id="2" name="TextBox 1">
          <a:extLst>
            <a:ext uri="{FF2B5EF4-FFF2-40B4-BE49-F238E27FC236}">
              <a16:creationId xmlns:a16="http://schemas.microsoft.com/office/drawing/2014/main" id="{F91B517B-31CC-4DAB-9DFA-DB77FFDF41F9}"/>
            </a:ext>
          </a:extLst>
        </xdr:cNvPr>
        <xdr:cNvSpPr txBox="1"/>
      </xdr:nvSpPr>
      <xdr:spPr>
        <a:xfrm>
          <a:off x="2638274" y="16902642"/>
          <a:ext cx="184731"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Ana Victoria Vera Cortines" id="{AC6628C2-290C-4534-99B0-8CF15A06340E}" userId="Ana Victoria Vera Cortines" providerId="None"/>
  <person displayName="Maria Angelica Diaz Paez" id="{FE8C7DBC-EA7D-46CC-A36C-7B37D77DB11D}" userId="S::ma.diaz@uniandes.edu.co::61d848ee-6e77-402a-874d-82361f434c8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6A460B-BF12-48F3-90D4-70B8DF2DF9F1}" name="Tabla2" displayName="Tabla2" ref="B3:C11" totalsRowShown="0" headerRowDxfId="10">
  <tableColumns count="2">
    <tableColumn id="1" xr3:uid="{C8DC69E6-1851-4BDB-8D30-C3B1DEB35846}" name="Rubro/Indicador" dataDxfId="9"/>
    <tableColumn id="2" xr3:uid="{28AB2BCE-E628-48DF-A22D-DE4F064D5F2B}" name="Valor"/>
  </tableColumns>
  <tableStyleInfo name="TableStyleDark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2" dT="2021-04-26T13:44:50.41" personId="{FE8C7DBC-EA7D-46CC-A36C-7B37D77DB11D}" id="{726E74DC-275C-44D8-90B8-2C7234FB9C30}">
    <text xml:space="preserve">Contribución a la economía por medio de impuestos (dinamismo) </text>
  </threadedComment>
  <threadedComment ref="A53" dT="2021-04-26T13:46:08.70" personId="{FE8C7DBC-EA7D-46CC-A36C-7B37D77DB11D}" id="{3AF08753-DAA6-49D0-A3D6-B177D4C894AF}">
    <text>Contribución al bienestar de la compañía y social visto como retorno a los inversionistas</text>
  </threadedComment>
  <threadedComment ref="A54" dT="2021-04-26T13:46:33.54" personId="{FE8C7DBC-EA7D-46CC-A36C-7B37D77DB11D}" id="{05262BFB-56F7-431A-83BE-9357431CB5AE}">
    <text xml:space="preserve">Contribución al bienestar de los servicios financieros </text>
  </threadedComment>
  <threadedComment ref="A55" dT="2021-04-26T13:46:57.14" personId="{FE8C7DBC-EA7D-46CC-A36C-7B37D77DB11D}" id="{C4C8D19B-1E33-4C26-80D1-65878A3313FE}">
    <text xml:space="preserve">Ingresos que se traducen en consumo y dinamismo en la economía. </text>
  </threadedComment>
  <threadedComment ref="A72" dT="2021-04-26T13:48:38.75" personId="{FE8C7DBC-EA7D-46CC-A36C-7B37D77DB11D}" id="{18D910FB-4D63-41AD-A0BC-7BBDFABA9572}">
    <text>Provisión de infraestructura (vías, generación de energía) que mejora la calidad de vida y aumenta las oportunidades</text>
  </threadedComment>
  <threadedComment ref="A73" dT="2021-04-26T13:49:31.27" personId="{FE8C7DBC-EA7D-46CC-A36C-7B37D77DB11D}" id="{671C1038-E1C4-405D-BC28-40FB8B2DF40A}">
    <text xml:space="preserve">Brinda servicios de salud, campañas de bienestar que genera valor por medio de mejorar la calidad de vida. </text>
  </threadedComment>
  <threadedComment ref="A74" dT="2021-04-26T13:49:54.93" personId="{FE8C7DBC-EA7D-46CC-A36C-7B37D77DB11D}" id="{6F2A006A-F0E9-496F-B407-CE157A5924B3}">
    <text xml:space="preserve">Provisión de educación y capacitaciones </text>
  </threadedComment>
  <threadedComment ref="A77" dT="2021-04-26T13:49:31.27" personId="{FE8C7DBC-EA7D-46CC-A36C-7B37D77DB11D}" id="{671C1038-E1C4-405E-BC28-40FB8B2DF40A}">
    <text xml:space="preserve">Brinda servicios de salud, campañas de bienestar que genera valor por medio de mejorar la calidad de vida. </text>
  </threadedComment>
  <threadedComment ref="A78" dT="2021-04-26T13:49:54.93" personId="{FE8C7DBC-EA7D-46CC-A36C-7B37D77DB11D}" id="{6F2A006A-F0E9-4970-B407-CE157A5924B3}">
    <text xml:space="preserve">Provisión de educación y capacitaciones </text>
  </threadedComment>
  <threadedComment ref="A81" dT="2021-04-26T13:51:03.72" personId="{FE8C7DBC-EA7D-46CC-A36C-7B37D77DB11D}" id="{4C855399-869E-479A-8347-A65F8AD993A8}">
    <text xml:space="preserve">Daños a la salud ocasionados por bajas inversiones en la seguridad de la salud </text>
  </threadedComment>
  <threadedComment ref="A82" dT="2021-04-26T13:51:40.10" personId="{FE8C7DBC-EA7D-46CC-A36C-7B37D77DB11D}" id="{9F58E062-6CE8-40E4-942E-583B842C50BC}">
    <text xml:space="preserve">Daño a la salud de los trabajadores por medio de la contaminación del aire, agua y sonidos </text>
  </threadedComment>
  <threadedComment ref="A90" dT="2021-04-26T13:53:04.11" personId="{FE8C7DBC-EA7D-46CC-A36C-7B37D77DB11D}" id="{F3A8FD57-381B-4ECF-BA9D-96D0CCBFC9A7}">
    <text xml:space="preserve">Reducción del uso de energía carbono intensiva y ahorro de emisiones de gases GHG por medio de generación de energía renovable. </text>
  </threadedComment>
  <threadedComment ref="A91" dT="2021-04-26T13:53:33.25" personId="{FE8C7DBC-EA7D-46CC-A36C-7B37D77DB11D}" id="{7992A410-6472-4116-9C1D-D8E8E22C9B7D}">
    <text xml:space="preserve">Prácticas regenerativas que mejoran los ecosistemas </text>
  </threadedComment>
  <threadedComment ref="A92" dT="2021-04-26T13:53:54.49" personId="{FE8C7DBC-EA7D-46CC-A36C-7B37D77DB11D}" id="{14FF35D1-0865-45E4-A73F-72C7B6C4CB6F}">
    <text>Uso de los residuos</text>
  </threadedComment>
  <threadedComment ref="A96" dT="2021-04-26T13:53:04.11" personId="{FE8C7DBC-EA7D-46CC-A36C-7B37D77DB11D}" id="{F3A8FD57-381B-4ED0-BA9D-96D0CCBFC9A7}">
    <text xml:space="preserve">Reducción del uso de energía carbono intensiva y ahorro de emisiones de gases GHG por medio de generación de energía renovable. </text>
  </threadedComment>
  <threadedComment ref="A97" dT="2021-04-26T13:53:33.25" personId="{FE8C7DBC-EA7D-46CC-A36C-7B37D77DB11D}" id="{7992A410-6472-4117-9C1D-D8E8E22C9B7D}">
    <text xml:space="preserve">Prácticas regenerativas que mejoran los ecosistemas </text>
  </threadedComment>
  <threadedComment ref="A98" dT="2021-04-26T13:53:54.49" personId="{FE8C7DBC-EA7D-46CC-A36C-7B37D77DB11D}" id="{14FF35D1-0865-45E5-A73F-72C7B6C4CB6F}">
    <text>Uso de los residuos</text>
  </threadedComment>
  <threadedComment ref="A103" dT="2021-04-26T13:54:42.71" personId="{FE8C7DBC-EA7D-46CC-A36C-7B37D77DB11D}" id="{40D1CC19-39DB-4810-A30B-950BD146275C}">
    <text>Daño ambiental ocasionado por residuos gaseosos, líquidos y sólidos.</text>
  </threadedComment>
  <threadedComment ref="A104" dT="2021-04-26T13:55:00.91" personId="{FE8C7DBC-EA7D-46CC-A36C-7B37D77DB11D}" id="{64A7BC5F-68F9-4390-B1DF-F8C9831A343F}">
    <text xml:space="preserve">Degradación de los servicios ecosistémicos. </text>
  </threadedComment>
  <threadedComment ref="A105" dT="2021-04-26T13:55:45.40" personId="{FE8C7DBC-EA7D-46CC-A36C-7B37D77DB11D}" id="{7799F7CB-BB27-4C62-AB00-406B2C185C2B}">
    <text xml:space="preserve">Contribución al cambio climático y costos a la sociedad por emisión de emisiones GHG </text>
  </threadedComment>
  <threadedComment ref="A106" dT="2021-04-26T13:56:20.66" personId="{FE8C7DBC-EA7D-46CC-A36C-7B37D77DB11D}" id="{192C4ADD-BA99-4108-B64E-E417115CE0E0}">
    <text xml:space="preserve">Daño a los ecosistemas y comunidades por uso de agua en áreas donde esta es escasa. </text>
  </threadedComment>
  <threadedComment ref="A107" dT="2021-04-26T13:44:21.16" personId="{FE8C7DBC-EA7D-46CC-A36C-7B37D77DB11D}" id="{BD59FDCF-16D2-496B-B506-68CC443286D5}">
    <text xml:space="preserve">Uso de materias primas en el proceso de producción que ocasionen daño ambiental o escasez de recursos. </text>
  </threadedComment>
  <threadedComment ref="A299" dT="2021-05-09T22:49:30.65" personId="{AC6628C2-290C-4534-99B0-8CF15A06340E}" id="{D0E38148-AEF0-430E-9C95-D3E1707A4A3D}">
    <text>En volumen.</text>
  </threadedComment>
  <threadedComment ref="A302" dT="2021-05-09T23:13:43.06" personId="{AC6628C2-290C-4534-99B0-8CF15A06340E}" id="{9E14ADFA-E76A-450B-B8AF-8F40ECBC60AC}">
    <text>KwH de energía renovable / Total de KwH de Energía Consumida</text>
  </threadedComment>
  <threadedComment ref="A303" dT="2021-05-09T23:14:53.63" personId="{AC6628C2-290C-4534-99B0-8CF15A06340E}" id="{E93F19E0-2F87-41B7-8DF8-6B05B3D7228C}">
    <text>Inversiones en energías renovables / Total de Inversiones realizadas por la empresa</text>
  </threadedComment>
  <threadedComment ref="A309" dT="2021-05-09T22:51:26.35" personId="{AC6628C2-290C-4534-99B0-8CF15A06340E}" id="{367E4A2D-A43C-48A4-8819-E10254F034A1}">
    <text>En Volumen.</text>
  </threadedComment>
  <threadedComment ref="A312" dT="2021-05-09T23:09:03.89" personId="{AC6628C2-290C-4534-99B0-8CF15A06340E}" id="{B00D4652-B0F7-40A8-8895-869F7E4B5A04}">
    <text>Residuos Relacionados a la Producción / Número de Unidades Producidas</text>
  </threadedComment>
  <threadedComment ref="A313" dT="2021-05-09T23:09:51.46" personId="{AC6628C2-290C-4534-99B0-8CF15A06340E}" id="{895DCC55-C805-47B0-A52D-8ACC790B21D9}">
    <text>Residuos Reciclados / Total de Residuos</text>
  </threadedComment>
  <threadedComment ref="A316" dT="2021-05-09T23:15:57.12" personId="{AC6628C2-290C-4534-99B0-8CF15A06340E}" id="{E3E56863-29A8-45C9-AE1F-375672DB9C55}">
    <text>Unidad de Material Recuperado / Total de Material Utilizado</text>
  </threadedComment>
  <threadedComment ref="A320" dT="2021-05-09T22:37:19.60" personId="{AC6628C2-290C-4534-99B0-8CF15A06340E}" id="{FC9D137D-83A7-49AC-A0D5-2296B422A39F}">
    <text>Empleados que dejan la compañia / Total de empleados</text>
  </threadedComment>
  <threadedComment ref="A323" dT="2021-05-09T22:47:51.71" personId="{AC6628C2-290C-4534-99B0-8CF15A06340E}" id="{06FEBCD0-414B-46A1-B843-3F25C83899AB}">
    <text>Empleados entrenados / Total de empleados</text>
  </threadedComment>
  <threadedComment ref="A327" dT="2021-05-09T22:39:34.56" personId="{AC6628C2-290C-4534-99B0-8CF15A06340E}" id="{7C5E0464-4BD1-4758-B2AE-48D9B62979BA}">
    <text>Estructura de Edad / Distribución</text>
  </threadedComment>
  <threadedComment ref="A328" dT="2021-05-09T22:57:44.29" personId="{AC6628C2-290C-4534-99B0-8CF15A06340E}" id="{069D10F2-02A3-4D6F-80C5-B28DD22E7A0C}">
    <text>Empleados a retirarse en los próximos 5 años / Total de Empleados</text>
  </threadedComment>
  <threadedComment ref="A334" dT="2021-05-09T23:19:52.22" personId="{AC6628C2-290C-4534-99B0-8CF15A06340E}" id="{C44DA6DB-72AA-45DD-9819-95D79362D390}">
    <text>Número de Trabajadoras / Total de Empleados</text>
  </threadedComment>
  <threadedComment ref="A335" dT="2021-05-09T23:20:20.03" personId="{AC6628C2-290C-4534-99B0-8CF15A06340E}" id="{0511B3EC-16D6-4288-A45F-D55A2DA5C77B}">
    <text>Número de mujeres ocupando puestos gerenciales / Total de puestos gerenciales</text>
  </threadedComment>
  <threadedComment ref="A337" dT="2021-05-09T23:22:47.10" personId="{AC6628C2-290C-4534-99B0-8CF15A06340E}" id="{E111382A-DAA2-4053-B74C-3D380F64A748}">
    <text>Fondos obtenidos por criterios ASG / Total de fondos obtenidos</text>
  </threadedComment>
  <threadedComment ref="A339" dT="2021-05-09T23:14:53.63" personId="{AC6628C2-290C-4534-99B0-8CF15A06340E}" id="{36A9B1B5-5950-499D-866E-B9E5EE38B4B6}">
    <text>Inversiones en iniciativas ASG / Total de Inversiones realizadas por la empresa</text>
  </threadedComment>
  <threadedComment ref="A341" dT="2021-05-09T23:25:42.20" personId="{AC6628C2-290C-4534-99B0-8CF15A06340E}" id="{C8AEC9FD-B1B2-4D6B-ABD3-A0800C536EF3}">
    <text>Número de Proveedores con iniciativas ASG / Total de Proveedores</text>
  </threadedComment>
  <threadedComment ref="A349" dT="2021-05-09T22:44:47.96" personId="{AC6628C2-290C-4534-99B0-8CF15A06340E}" id="{41D4E7B5-F7AF-452F-B70A-079441E65CDA}">
    <text>Ingresos por productos culminando su ciclo de vida / Total de Ingresos</text>
  </threadedComment>
  <threadedComment ref="A350" dT="2021-05-09T22:45:53.50" personId="{AC6628C2-290C-4534-99B0-8CF15A06340E}" id="{31D30293-B587-44B9-B916-FF775CF02568}">
    <text>Ingresos por productos introducidos hace menos de 12 meses / Total de Ingresos</text>
  </threadedComment>
  <threadedComment ref="A375" dT="2021-04-26T13:49:31.27" personId="{FE8C7DBC-EA7D-46CC-A36C-7B37D77DB11D}" id="{671C1038-E1C4-405F-BC28-40FB8B2DF40A}">
    <text xml:space="preserve">Brinda servicios de salud, campañas de bienestar que genera valor por medio de mejorar la calidad de vida. </text>
  </threadedComment>
  <threadedComment ref="A376" dT="2021-04-26T13:49:54.93" personId="{FE8C7DBC-EA7D-46CC-A36C-7B37D77DB11D}" id="{6F2A006A-F0E9-4971-B407-CE157A5924B3}">
    <text xml:space="preserve">Provisión de educación y capacitaciones </text>
  </threadedComment>
  <threadedComment ref="A381" dT="2021-04-26T13:53:04.11" personId="{FE8C7DBC-EA7D-46CC-A36C-7B37D77DB11D}" id="{F3A8FD57-381B-4ED1-BA9D-96D0CCBFC9A7}">
    <text xml:space="preserve">Reducción del uso de energía carbono intensiva y ahorro de emisiones de gases GHG por medio de generación de energía renovable. </text>
  </threadedComment>
  <threadedComment ref="A382" dT="2021-04-26T13:53:33.25" personId="{FE8C7DBC-EA7D-46CC-A36C-7B37D77DB11D}" id="{7992A410-6472-4118-9C1D-D8E8E22C9B7D}">
    <text xml:space="preserve">Prácticas regenerativas que mejoran los ecosistemas </text>
  </threadedComment>
  <threadedComment ref="A383" dT="2021-04-26T13:53:54.49" personId="{FE8C7DBC-EA7D-46CC-A36C-7B37D77DB11D}" id="{14FF35D1-0865-45E6-A73F-72C7B6C4CB6F}">
    <text>Uso de los residuos</text>
  </threadedComment>
  <threadedComment ref="H390" dT="2021-04-21T00:51:42.97" personId="{FE8C7DBC-EA7D-46CC-A36C-7B37D77DB11D}" id="{3CD1351A-9475-4963-A9F0-5E450C125BB0}">
    <text>Faltaría mirar el valor de la perpetuidad</text>
  </threadedComment>
  <threadedComment ref="A445" dT="2021-04-26T14:39:02.14" personId="{FE8C7DBC-EA7D-46CC-A36C-7B37D77DB11D}" id="{5485D694-2055-4EC1-A387-D39E6C6D238C}">
    <text xml:space="preserve">Suma de las externalidades positivas y negativas económicas </text>
  </threadedComment>
  <threadedComment ref="A446" dT="2021-04-26T14:39:17.31" personId="{FE8C7DBC-EA7D-46CC-A36C-7B37D77DB11D}" id="{B707CBE0-8EC8-4CA7-A214-B1390E28B88C}">
    <text xml:space="preserve">Suma de las externalidades positivas y negativas sociales </text>
  </threadedComment>
  <threadedComment ref="A447" dT="2021-04-26T14:39:33.48" personId="{FE8C7DBC-EA7D-46CC-A36C-7B37D77DB11D}" id="{A312C5AC-1228-4963-940F-7873634C79A2}">
    <text xml:space="preserve">Suma de las externalidades positivas y negativas ambientales </text>
  </threadedComment>
  <threadedComment ref="A448" dT="2021-04-26T14:39:49.97" personId="{FE8C7DBC-EA7D-46CC-A36C-7B37D77DB11D}" id="{5C3D835D-FBDC-4E3F-863B-BE15692D6449}">
    <text xml:space="preserve">Suma del valor económico, social y ambiental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ortafolio.co/internacional/proponen-precio-minimo-al-carbono-para-frenar-emisiones-de-c02-553137" TargetMode="External"/><Relationship Id="rId1" Type="http://schemas.openxmlformats.org/officeDocument/2006/relationships/hyperlink" Target="https://www.metropol.gov.co/ambiental/Paginas/consumo-sostenible/incentivos-tributarios.aspx"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lataformazeo.com/es/cuanto-co2-emite-el-plastico/" TargetMode="External"/><Relationship Id="rId1" Type="http://schemas.openxmlformats.org/officeDocument/2006/relationships/hyperlink" Target="https://repository.ean.edu.co/bitstream/handle/10882/9874/CerdaIvan2020.pdf;jsessionid=E45B6204B39D30356CA0CB8554C4752A?sequence=1" TargetMode="Externa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B8A6A-4227-4C57-B68C-3C40AC884488}">
  <dimension ref="A1:T476"/>
  <sheetViews>
    <sheetView zoomScale="71" zoomScaleNormal="71" zoomScalePageLayoutView="90" workbookViewId="0">
      <selection activeCell="C390" sqref="C390"/>
    </sheetView>
  </sheetViews>
  <sheetFormatPr baseColWidth="10" defaultColWidth="10.85546875" defaultRowHeight="15" outlineLevelRow="2" outlineLevelCol="1" x14ac:dyDescent="0.25"/>
  <cols>
    <col min="1" max="1" width="53.42578125" style="2" customWidth="1"/>
    <col min="2" max="2" width="20" style="2" bestFit="1" customWidth="1"/>
    <col min="3" max="3" width="18" style="2" bestFit="1" customWidth="1"/>
    <col min="4" max="8" width="17.7109375" style="2" bestFit="1" customWidth="1"/>
    <col min="9" max="9" width="13.42578125" style="2" customWidth="1"/>
    <col min="10" max="10" width="13" style="85" bestFit="1" customWidth="1" outlineLevel="1"/>
    <col min="11" max="11" width="15.28515625" style="2" hidden="1" customWidth="1"/>
    <col min="12" max="14" width="13" style="2" bestFit="1" customWidth="1"/>
    <col min="15" max="20" width="12.28515625" style="2" bestFit="1" customWidth="1"/>
    <col min="21" max="16384" width="10.85546875" style="2"/>
  </cols>
  <sheetData>
    <row r="1" spans="1:10" x14ac:dyDescent="0.25">
      <c r="A1" s="22" t="s">
        <v>0</v>
      </c>
    </row>
    <row r="2" spans="1:10" x14ac:dyDescent="0.25">
      <c r="A2" s="22" t="s">
        <v>94</v>
      </c>
    </row>
    <row r="3" spans="1:10" outlineLevel="1" x14ac:dyDescent="0.25">
      <c r="A3" s="15"/>
      <c r="B3" s="13"/>
      <c r="C3" s="13">
        <v>2022</v>
      </c>
      <c r="D3" s="19">
        <v>2023</v>
      </c>
      <c r="E3" s="19">
        <v>2024</v>
      </c>
      <c r="F3" s="19">
        <v>2025</v>
      </c>
      <c r="G3" s="19">
        <v>2026</v>
      </c>
      <c r="H3" s="19">
        <v>2027</v>
      </c>
    </row>
    <row r="4" spans="1:10" outlineLevel="1" x14ac:dyDescent="0.25">
      <c r="A4" s="64" t="s">
        <v>95</v>
      </c>
      <c r="B4" s="52"/>
      <c r="C4" s="52"/>
      <c r="D4" s="95">
        <v>0.01</v>
      </c>
      <c r="E4" s="95">
        <v>0.02</v>
      </c>
      <c r="F4" s="95">
        <v>0.02</v>
      </c>
      <c r="G4" s="95">
        <v>0.02</v>
      </c>
      <c r="H4" s="95">
        <v>0.03</v>
      </c>
    </row>
    <row r="5" spans="1:10" outlineLevel="1" x14ac:dyDescent="0.25">
      <c r="A5" s="10" t="s">
        <v>96</v>
      </c>
      <c r="B5" s="52"/>
      <c r="C5" s="52"/>
      <c r="D5" s="109">
        <f>(D6*$J$6)+(D7*$J$7)+(D8*$J$8)+(D9*$J$9)</f>
        <v>1</v>
      </c>
      <c r="E5" s="109">
        <f t="shared" ref="E5:H5" si="0">(E6*$J$6)+(E7*$J$7)+(E8*$J$8)+(E9*$J$9)</f>
        <v>1</v>
      </c>
      <c r="F5" s="109">
        <f t="shared" si="0"/>
        <v>1</v>
      </c>
      <c r="G5" s="109">
        <f t="shared" si="0"/>
        <v>1</v>
      </c>
      <c r="H5" s="109">
        <f t="shared" si="0"/>
        <v>1</v>
      </c>
      <c r="I5" s="80"/>
      <c r="J5" s="84" t="s">
        <v>97</v>
      </c>
    </row>
    <row r="6" spans="1:10" ht="15.75" hidden="1" customHeight="1" outlineLevel="2" x14ac:dyDescent="0.25">
      <c r="A6" s="10" t="s">
        <v>98</v>
      </c>
      <c r="B6" s="52"/>
      <c r="C6" s="52"/>
      <c r="D6" s="96">
        <v>1</v>
      </c>
      <c r="E6" s="96">
        <v>1</v>
      </c>
      <c r="F6" s="96">
        <v>1</v>
      </c>
      <c r="G6" s="96">
        <v>1</v>
      </c>
      <c r="H6" s="96">
        <v>1</v>
      </c>
      <c r="I6" s="81"/>
      <c r="J6" s="86">
        <v>0.25</v>
      </c>
    </row>
    <row r="7" spans="1:10" hidden="1" outlineLevel="2" x14ac:dyDescent="0.25">
      <c r="A7" s="10" t="s">
        <v>226</v>
      </c>
      <c r="B7" s="52"/>
      <c r="C7" s="141"/>
      <c r="D7" s="96">
        <v>1</v>
      </c>
      <c r="E7" s="96">
        <v>1</v>
      </c>
      <c r="F7" s="96">
        <v>1</v>
      </c>
      <c r="G7" s="96">
        <v>1</v>
      </c>
      <c r="H7" s="96">
        <v>1</v>
      </c>
      <c r="I7" s="81"/>
      <c r="J7" s="86">
        <v>0.25</v>
      </c>
    </row>
    <row r="8" spans="1:10" hidden="1" outlineLevel="2" x14ac:dyDescent="0.25">
      <c r="A8" s="10" t="s">
        <v>99</v>
      </c>
      <c r="B8" s="52"/>
      <c r="C8" s="141"/>
      <c r="D8" s="96">
        <v>1</v>
      </c>
      <c r="E8" s="96">
        <v>1</v>
      </c>
      <c r="F8" s="96">
        <v>1</v>
      </c>
      <c r="G8" s="96">
        <v>1</v>
      </c>
      <c r="H8" s="96">
        <v>1</v>
      </c>
      <c r="I8" s="81"/>
      <c r="J8" s="86">
        <v>0.25</v>
      </c>
    </row>
    <row r="9" spans="1:10" hidden="1" outlineLevel="2" x14ac:dyDescent="0.25">
      <c r="A9" s="10" t="s">
        <v>100</v>
      </c>
      <c r="B9" s="52"/>
      <c r="C9" s="141"/>
      <c r="D9" s="96">
        <v>1</v>
      </c>
      <c r="E9" s="96">
        <v>1</v>
      </c>
      <c r="F9" s="96">
        <v>1</v>
      </c>
      <c r="G9" s="96">
        <v>1</v>
      </c>
      <c r="H9" s="96">
        <v>1</v>
      </c>
      <c r="I9" s="81"/>
      <c r="J9" s="87">
        <f>1-(SUM(J6:J8))</f>
        <v>0.25</v>
      </c>
    </row>
    <row r="10" spans="1:10" outlineLevel="1" collapsed="1" x14ac:dyDescent="0.25">
      <c r="A10" s="70" t="s">
        <v>101</v>
      </c>
      <c r="C10" s="67"/>
      <c r="D10" s="97">
        <f>D4*D5</f>
        <v>0.01</v>
      </c>
      <c r="E10" s="97">
        <f t="shared" ref="E10:H10" si="1">E4*E5</f>
        <v>0.02</v>
      </c>
      <c r="F10" s="97">
        <f t="shared" si="1"/>
        <v>0.02</v>
      </c>
      <c r="G10" s="97">
        <f t="shared" si="1"/>
        <v>0.02</v>
      </c>
      <c r="H10" s="97">
        <f t="shared" si="1"/>
        <v>0.03</v>
      </c>
      <c r="I10" s="67"/>
      <c r="J10" s="94">
        <f>SUM(J6:J9)</f>
        <v>1</v>
      </c>
    </row>
    <row r="11" spans="1:10" outlineLevel="1" x14ac:dyDescent="0.25">
      <c r="A11" s="2" t="s">
        <v>102</v>
      </c>
      <c r="C11" s="67">
        <v>0.47</v>
      </c>
      <c r="D11" s="98">
        <v>0.47</v>
      </c>
      <c r="E11" s="98">
        <v>0.47</v>
      </c>
      <c r="F11" s="98">
        <v>0.47</v>
      </c>
      <c r="G11" s="98">
        <v>0.47</v>
      </c>
      <c r="H11" s="98">
        <v>0.47</v>
      </c>
      <c r="I11" s="67"/>
    </row>
    <row r="12" spans="1:10" outlineLevel="1" x14ac:dyDescent="0.25">
      <c r="A12" s="10" t="s">
        <v>103</v>
      </c>
      <c r="C12" s="67"/>
      <c r="D12" s="99">
        <f>SUMPRODUCT(D13:D16,$J$13:$J$16)</f>
        <v>1</v>
      </c>
      <c r="E12" s="99">
        <f t="shared" ref="E12:H12" si="2">SUMPRODUCT(E13:E16,$J$13:$J$16)</f>
        <v>1</v>
      </c>
      <c r="F12" s="99">
        <f t="shared" si="2"/>
        <v>1</v>
      </c>
      <c r="G12" s="99">
        <f t="shared" si="2"/>
        <v>1</v>
      </c>
      <c r="H12" s="99">
        <f t="shared" si="2"/>
        <v>1</v>
      </c>
      <c r="I12" s="82"/>
      <c r="J12" s="84" t="s">
        <v>97</v>
      </c>
    </row>
    <row r="13" spans="1:10" hidden="1" outlineLevel="2" x14ac:dyDescent="0.25">
      <c r="A13" s="10" t="s">
        <v>104</v>
      </c>
      <c r="C13" s="67"/>
      <c r="D13" s="96">
        <v>1</v>
      </c>
      <c r="E13" s="96">
        <v>1</v>
      </c>
      <c r="F13" s="96">
        <v>1</v>
      </c>
      <c r="G13" s="96">
        <v>1</v>
      </c>
      <c r="H13" s="96">
        <v>1</v>
      </c>
      <c r="I13" s="82"/>
      <c r="J13" s="86">
        <v>0.25</v>
      </c>
    </row>
    <row r="14" spans="1:10" hidden="1" outlineLevel="2" x14ac:dyDescent="0.25">
      <c r="A14" s="10" t="s">
        <v>105</v>
      </c>
      <c r="C14" s="67"/>
      <c r="D14" s="96">
        <v>1</v>
      </c>
      <c r="E14" s="96">
        <v>1</v>
      </c>
      <c r="F14" s="96">
        <v>1</v>
      </c>
      <c r="G14" s="96">
        <v>1</v>
      </c>
      <c r="H14" s="96">
        <v>1</v>
      </c>
      <c r="I14" s="82"/>
      <c r="J14" s="86">
        <v>0.25</v>
      </c>
    </row>
    <row r="15" spans="1:10" hidden="1" outlineLevel="2" x14ac:dyDescent="0.25">
      <c r="A15" s="10" t="s">
        <v>106</v>
      </c>
      <c r="C15" s="67"/>
      <c r="D15" s="96">
        <v>1</v>
      </c>
      <c r="E15" s="96">
        <v>1</v>
      </c>
      <c r="F15" s="96">
        <v>1</v>
      </c>
      <c r="G15" s="96">
        <v>1</v>
      </c>
      <c r="H15" s="96">
        <v>1</v>
      </c>
      <c r="I15" s="82"/>
      <c r="J15" s="86">
        <v>0.25</v>
      </c>
    </row>
    <row r="16" spans="1:10" hidden="1" outlineLevel="2" x14ac:dyDescent="0.25">
      <c r="A16" s="10" t="s">
        <v>100</v>
      </c>
      <c r="C16" s="67"/>
      <c r="D16" s="96">
        <v>1</v>
      </c>
      <c r="E16" s="96">
        <v>1</v>
      </c>
      <c r="F16" s="96">
        <v>1</v>
      </c>
      <c r="G16" s="96">
        <v>1</v>
      </c>
      <c r="H16" s="96">
        <v>1</v>
      </c>
      <c r="I16" s="82"/>
      <c r="J16" s="87">
        <f>1-(SUM(J13:J15))</f>
        <v>0.25</v>
      </c>
    </row>
    <row r="17" spans="1:10" outlineLevel="1" collapsed="1" x14ac:dyDescent="0.25">
      <c r="A17" s="70" t="s">
        <v>107</v>
      </c>
      <c r="C17" s="67">
        <f>+C11</f>
        <v>0.47</v>
      </c>
      <c r="D17" s="97">
        <f>D12*D11</f>
        <v>0.47</v>
      </c>
      <c r="E17" s="97">
        <f>E12*E11</f>
        <v>0.47</v>
      </c>
      <c r="F17" s="97">
        <f>F12*F11</f>
        <v>0.47</v>
      </c>
      <c r="G17" s="97">
        <f>G12*G11</f>
        <v>0.47</v>
      </c>
      <c r="H17" s="97">
        <f>H12*H11</f>
        <v>0.47</v>
      </c>
      <c r="I17" s="67"/>
      <c r="J17" s="94">
        <f>SUM(J13:J16)</f>
        <v>1</v>
      </c>
    </row>
    <row r="18" spans="1:10" s="10" customFormat="1" outlineLevel="1" x14ac:dyDescent="0.25">
      <c r="A18" s="20" t="s">
        <v>108</v>
      </c>
      <c r="C18" s="62">
        <v>0.17</v>
      </c>
      <c r="D18" s="100">
        <v>0.17</v>
      </c>
      <c r="E18" s="100">
        <v>0.17</v>
      </c>
      <c r="F18" s="100">
        <v>0.17</v>
      </c>
      <c r="G18" s="100">
        <v>0.17</v>
      </c>
      <c r="H18" s="100">
        <v>0.17</v>
      </c>
      <c r="I18" s="62"/>
      <c r="J18" s="88"/>
    </row>
    <row r="19" spans="1:10" s="10" customFormat="1" outlineLevel="1" x14ac:dyDescent="0.25">
      <c r="A19" s="10" t="s">
        <v>109</v>
      </c>
      <c r="C19" s="62"/>
      <c r="D19" s="101">
        <f>SUMPRODUCT(D20:D23,$J$20:$J$23)</f>
        <v>1</v>
      </c>
      <c r="E19" s="101">
        <f t="shared" ref="E19:H19" si="3">SUMPRODUCT(E20:E23,$J$20:$J$23)</f>
        <v>1</v>
      </c>
      <c r="F19" s="101">
        <f t="shared" si="3"/>
        <v>1</v>
      </c>
      <c r="G19" s="101">
        <f t="shared" si="3"/>
        <v>1</v>
      </c>
      <c r="H19" s="101">
        <f t="shared" si="3"/>
        <v>1</v>
      </c>
      <c r="I19" s="83"/>
      <c r="J19" s="84" t="s">
        <v>97</v>
      </c>
    </row>
    <row r="20" spans="1:10" s="10" customFormat="1" hidden="1" outlineLevel="2" x14ac:dyDescent="0.25">
      <c r="A20" s="10" t="s">
        <v>110</v>
      </c>
      <c r="C20" s="62"/>
      <c r="D20" s="96">
        <v>1</v>
      </c>
      <c r="E20" s="96">
        <v>1</v>
      </c>
      <c r="F20" s="96">
        <v>1</v>
      </c>
      <c r="G20" s="96">
        <v>1</v>
      </c>
      <c r="H20" s="96">
        <v>1</v>
      </c>
      <c r="I20" s="83"/>
      <c r="J20" s="86">
        <v>0.25</v>
      </c>
    </row>
    <row r="21" spans="1:10" s="10" customFormat="1" hidden="1" outlineLevel="2" x14ac:dyDescent="0.25">
      <c r="A21" s="10" t="s">
        <v>111</v>
      </c>
      <c r="C21" s="62"/>
      <c r="D21" s="96">
        <v>1</v>
      </c>
      <c r="E21" s="96">
        <v>1</v>
      </c>
      <c r="F21" s="96">
        <v>1</v>
      </c>
      <c r="G21" s="96">
        <v>1</v>
      </c>
      <c r="H21" s="96">
        <v>1</v>
      </c>
      <c r="I21" s="83"/>
      <c r="J21" s="86">
        <v>0.25</v>
      </c>
    </row>
    <row r="22" spans="1:10" s="10" customFormat="1" hidden="1" outlineLevel="2" x14ac:dyDescent="0.25">
      <c r="A22" s="10" t="s">
        <v>227</v>
      </c>
      <c r="C22" s="62"/>
      <c r="D22" s="96">
        <v>1</v>
      </c>
      <c r="E22" s="96">
        <v>1</v>
      </c>
      <c r="F22" s="96">
        <v>1</v>
      </c>
      <c r="G22" s="96">
        <v>1</v>
      </c>
      <c r="H22" s="96">
        <v>1</v>
      </c>
      <c r="I22" s="83"/>
      <c r="J22" s="86">
        <v>0.25</v>
      </c>
    </row>
    <row r="23" spans="1:10" s="10" customFormat="1" hidden="1" outlineLevel="2" x14ac:dyDescent="0.25">
      <c r="A23" s="10" t="s">
        <v>100</v>
      </c>
      <c r="C23" s="62"/>
      <c r="D23" s="96">
        <v>1</v>
      </c>
      <c r="E23" s="96">
        <v>1</v>
      </c>
      <c r="F23" s="96">
        <v>1</v>
      </c>
      <c r="G23" s="96">
        <v>1</v>
      </c>
      <c r="H23" s="96">
        <v>1</v>
      </c>
      <c r="I23" s="83"/>
      <c r="J23" s="87">
        <f>1-(SUM(J20:J22))</f>
        <v>0.25</v>
      </c>
    </row>
    <row r="24" spans="1:10" s="20" customFormat="1" outlineLevel="1" collapsed="1" x14ac:dyDescent="0.25">
      <c r="A24" s="71" t="s">
        <v>112</v>
      </c>
      <c r="C24" s="67">
        <f>+C18</f>
        <v>0.17</v>
      </c>
      <c r="D24" s="97">
        <f>D19*D18</f>
        <v>0.17</v>
      </c>
      <c r="E24" s="97">
        <f>E19*E18</f>
        <v>0.17</v>
      </c>
      <c r="F24" s="97">
        <f>F19*F18</f>
        <v>0.17</v>
      </c>
      <c r="G24" s="97">
        <f>G19*G18</f>
        <v>0.17</v>
      </c>
      <c r="H24" s="97">
        <f>H19*H18</f>
        <v>0.17</v>
      </c>
      <c r="J24" s="105">
        <f>SUM(J20:J23)</f>
        <v>1</v>
      </c>
    </row>
    <row r="25" spans="1:10" s="20" customFormat="1" outlineLevel="1" x14ac:dyDescent="0.25">
      <c r="A25" s="20" t="s">
        <v>113</v>
      </c>
      <c r="C25" s="142">
        <v>88.45</v>
      </c>
      <c r="D25" s="108">
        <f>+D26+D27-D28</f>
        <v>88.44850000000001</v>
      </c>
      <c r="E25" s="108">
        <f t="shared" ref="E25:H25" si="4">+E26+E27-E28</f>
        <v>78.123799999999989</v>
      </c>
      <c r="F25" s="108">
        <f t="shared" si="4"/>
        <v>89.932200000000009</v>
      </c>
      <c r="G25" s="108">
        <f t="shared" si="4"/>
        <v>77.837800000000016</v>
      </c>
      <c r="H25" s="108">
        <f t="shared" si="4"/>
        <v>81.940100000000015</v>
      </c>
      <c r="J25" s="85"/>
    </row>
    <row r="26" spans="1:10" s="20" customFormat="1" outlineLevel="1" x14ac:dyDescent="0.25">
      <c r="A26" s="20" t="s">
        <v>114</v>
      </c>
      <c r="C26" s="142">
        <v>90.86</v>
      </c>
      <c r="D26" s="108">
        <v>90.855000000000004</v>
      </c>
      <c r="E26" s="108">
        <v>86.838200000000001</v>
      </c>
      <c r="F26" s="108">
        <v>96.560199999999995</v>
      </c>
      <c r="G26" s="108">
        <v>88.105999999999995</v>
      </c>
      <c r="H26" s="108">
        <v>90.929299999999998</v>
      </c>
      <c r="J26" s="89"/>
    </row>
    <row r="27" spans="1:10" s="20" customFormat="1" outlineLevel="1" x14ac:dyDescent="0.25">
      <c r="A27" s="20" t="s">
        <v>115</v>
      </c>
      <c r="C27" s="142">
        <v>71.84</v>
      </c>
      <c r="D27" s="108">
        <v>71.841200000000001</v>
      </c>
      <c r="E27" s="108">
        <v>66.626300000000001</v>
      </c>
      <c r="F27" s="108">
        <v>72.554100000000005</v>
      </c>
      <c r="G27" s="108">
        <v>70.385800000000003</v>
      </c>
      <c r="H27" s="108">
        <v>66.513599999999997</v>
      </c>
      <c r="J27" s="89"/>
    </row>
    <row r="28" spans="1:10" outlineLevel="1" x14ac:dyDescent="0.25">
      <c r="A28" s="20" t="s">
        <v>116</v>
      </c>
      <c r="C28" s="142">
        <v>74.25</v>
      </c>
      <c r="D28" s="108">
        <v>74.247699999999995</v>
      </c>
      <c r="E28" s="108">
        <v>75.340699999999998</v>
      </c>
      <c r="F28" s="108">
        <v>79.182100000000005</v>
      </c>
      <c r="G28" s="108">
        <v>80.653999999999996</v>
      </c>
      <c r="H28" s="108">
        <v>75.502799999999993</v>
      </c>
      <c r="I28" s="20"/>
    </row>
    <row r="29" spans="1:10" outlineLevel="1" x14ac:dyDescent="0.25">
      <c r="A29" s="20" t="s">
        <v>117</v>
      </c>
      <c r="C29" s="67">
        <v>0.1067</v>
      </c>
      <c r="D29" s="98">
        <v>0.02</v>
      </c>
      <c r="E29" s="98">
        <v>0.02</v>
      </c>
      <c r="F29" s="98">
        <v>0.02</v>
      </c>
      <c r="G29" s="98">
        <v>0.02</v>
      </c>
      <c r="H29" s="98">
        <v>0.02</v>
      </c>
      <c r="I29" s="20"/>
    </row>
    <row r="30" spans="1:10" outlineLevel="1" x14ac:dyDescent="0.25">
      <c r="A30" s="10" t="s">
        <v>118</v>
      </c>
      <c r="C30" s="143">
        <v>1</v>
      </c>
      <c r="D30" s="102">
        <f>(D31*$J$31)+(D32*$J$32)+(D33*$J$33)+(D34*$J$34)</f>
        <v>1</v>
      </c>
      <c r="E30" s="102">
        <f t="shared" ref="E30:H30" si="5">(E31*$J$31)+(E32*$J$32)+(E33*$J$33)+(E34*$J$34)</f>
        <v>1</v>
      </c>
      <c r="F30" s="102">
        <f t="shared" si="5"/>
        <v>1</v>
      </c>
      <c r="G30" s="102">
        <f t="shared" si="5"/>
        <v>1</v>
      </c>
      <c r="H30" s="102">
        <f t="shared" si="5"/>
        <v>1</v>
      </c>
      <c r="I30" s="20"/>
      <c r="J30" s="84" t="s">
        <v>97</v>
      </c>
    </row>
    <row r="31" spans="1:10" hidden="1" outlineLevel="2" x14ac:dyDescent="0.25">
      <c r="A31" s="10" t="s">
        <v>119</v>
      </c>
      <c r="C31" s="143"/>
      <c r="D31" s="96">
        <v>1</v>
      </c>
      <c r="E31" s="96">
        <v>1</v>
      </c>
      <c r="F31" s="96">
        <v>1</v>
      </c>
      <c r="G31" s="96">
        <v>1</v>
      </c>
      <c r="H31" s="96">
        <v>1</v>
      </c>
      <c r="I31" s="20"/>
      <c r="J31" s="86">
        <v>0.25</v>
      </c>
    </row>
    <row r="32" spans="1:10" hidden="1" outlineLevel="2" x14ac:dyDescent="0.25">
      <c r="A32" s="10" t="s">
        <v>120</v>
      </c>
      <c r="C32" s="65"/>
      <c r="D32" s="96">
        <v>1</v>
      </c>
      <c r="E32" s="96">
        <v>1</v>
      </c>
      <c r="F32" s="96">
        <v>1</v>
      </c>
      <c r="G32" s="96">
        <v>1</v>
      </c>
      <c r="H32" s="96">
        <v>1</v>
      </c>
      <c r="I32" s="20"/>
      <c r="J32" s="86">
        <v>0.25</v>
      </c>
    </row>
    <row r="33" spans="1:11" hidden="1" outlineLevel="2" x14ac:dyDescent="0.25">
      <c r="A33" s="10" t="s">
        <v>121</v>
      </c>
      <c r="C33" s="65"/>
      <c r="D33" s="96">
        <v>1</v>
      </c>
      <c r="E33" s="96">
        <v>1</v>
      </c>
      <c r="F33" s="96">
        <v>1</v>
      </c>
      <c r="G33" s="96">
        <v>1</v>
      </c>
      <c r="H33" s="96">
        <v>1</v>
      </c>
      <c r="I33" s="20"/>
      <c r="J33" s="86">
        <v>0.25</v>
      </c>
    </row>
    <row r="34" spans="1:11" hidden="1" outlineLevel="2" x14ac:dyDescent="0.25">
      <c r="A34" s="10" t="s">
        <v>100</v>
      </c>
      <c r="C34" s="65"/>
      <c r="D34" s="96">
        <v>1</v>
      </c>
      <c r="E34" s="96">
        <v>1</v>
      </c>
      <c r="F34" s="96">
        <v>1</v>
      </c>
      <c r="G34" s="96">
        <v>1</v>
      </c>
      <c r="H34" s="96">
        <v>1</v>
      </c>
      <c r="I34" s="20"/>
      <c r="J34" s="87">
        <f>1-(SUM(J31:J33))</f>
        <v>0.25</v>
      </c>
    </row>
    <row r="35" spans="1:11" outlineLevel="1" collapsed="1" x14ac:dyDescent="0.25">
      <c r="A35" s="70" t="s">
        <v>122</v>
      </c>
      <c r="C35" s="69">
        <f>C29*C30</f>
        <v>0.1067</v>
      </c>
      <c r="D35" s="49">
        <f t="shared" ref="D35:H35" si="6">D29*D30</f>
        <v>0.02</v>
      </c>
      <c r="E35" s="49">
        <f t="shared" si="6"/>
        <v>0.02</v>
      </c>
      <c r="F35" s="49">
        <f t="shared" si="6"/>
        <v>0.02</v>
      </c>
      <c r="G35" s="49">
        <f t="shared" si="6"/>
        <v>0.02</v>
      </c>
      <c r="H35" s="49">
        <f t="shared" si="6"/>
        <v>0.02</v>
      </c>
      <c r="I35" s="20"/>
      <c r="J35" s="94">
        <f>SUM(J31:J34)</f>
        <v>1</v>
      </c>
    </row>
    <row r="36" spans="1:11" outlineLevel="1" x14ac:dyDescent="0.25">
      <c r="A36" s="2" t="s">
        <v>123</v>
      </c>
      <c r="C36" s="67">
        <v>9.1999999999999998E-2</v>
      </c>
      <c r="D36" s="66">
        <v>9.1999999999999998E-2</v>
      </c>
      <c r="E36" s="66">
        <v>9.1999999999999998E-2</v>
      </c>
      <c r="F36" s="66">
        <v>9.1999999999999998E-2</v>
      </c>
      <c r="G36" s="66">
        <v>9.1999999999999998E-2</v>
      </c>
      <c r="H36" s="66">
        <v>9.1999999999999998E-2</v>
      </c>
      <c r="I36" s="20"/>
      <c r="K36" s="85"/>
    </row>
    <row r="37" spans="1:11" outlineLevel="1" x14ac:dyDescent="0.25">
      <c r="A37" s="2" t="s">
        <v>124</v>
      </c>
      <c r="C37" s="67">
        <v>0.33</v>
      </c>
      <c r="D37" s="98">
        <v>0.33</v>
      </c>
      <c r="E37" s="98">
        <v>0.33</v>
      </c>
      <c r="F37" s="98">
        <v>0.33</v>
      </c>
      <c r="G37" s="98">
        <v>0.33</v>
      </c>
      <c r="H37" s="98">
        <v>0.33</v>
      </c>
      <c r="I37" s="20"/>
    </row>
    <row r="38" spans="1:11" outlineLevel="1" x14ac:dyDescent="0.25">
      <c r="A38" s="2" t="s">
        <v>125</v>
      </c>
      <c r="C38" s="67">
        <v>0.14000000000000001</v>
      </c>
      <c r="D38" s="98">
        <v>0.14000000000000001</v>
      </c>
      <c r="E38" s="98">
        <v>0.14000000000000001</v>
      </c>
      <c r="F38" s="98">
        <v>0.14000000000000001</v>
      </c>
      <c r="G38" s="98">
        <v>0.14000000000000001</v>
      </c>
      <c r="H38" s="98">
        <v>0.14000000000000001</v>
      </c>
      <c r="I38" s="20"/>
    </row>
    <row r="39" spans="1:11" outlineLevel="1" x14ac:dyDescent="0.25">
      <c r="A39" s="2" t="s">
        <v>126</v>
      </c>
      <c r="C39" s="68">
        <v>1</v>
      </c>
      <c r="D39" s="103">
        <v>1</v>
      </c>
      <c r="E39" s="103">
        <v>1</v>
      </c>
      <c r="F39" s="103">
        <v>1</v>
      </c>
      <c r="G39" s="103">
        <v>1</v>
      </c>
      <c r="H39" s="103">
        <v>1</v>
      </c>
      <c r="I39" s="20"/>
    </row>
    <row r="40" spans="1:11" outlineLevel="1" x14ac:dyDescent="0.25">
      <c r="A40" s="2" t="s">
        <v>127</v>
      </c>
      <c r="C40" s="67">
        <v>0</v>
      </c>
      <c r="D40" s="98">
        <v>0</v>
      </c>
      <c r="E40" s="98">
        <v>0</v>
      </c>
      <c r="F40" s="98">
        <v>0</v>
      </c>
      <c r="G40" s="98">
        <v>0</v>
      </c>
      <c r="H40" s="98">
        <v>0</v>
      </c>
      <c r="I40" s="20"/>
    </row>
    <row r="41" spans="1:11" outlineLevel="1" x14ac:dyDescent="0.25">
      <c r="A41" s="2" t="s">
        <v>128</v>
      </c>
      <c r="C41" s="67">
        <v>0.35</v>
      </c>
      <c r="D41" s="98">
        <v>0.35</v>
      </c>
      <c r="E41" s="98">
        <v>0.35</v>
      </c>
      <c r="F41" s="98">
        <v>0.35</v>
      </c>
      <c r="G41" s="98">
        <v>0.35</v>
      </c>
      <c r="H41" s="98">
        <v>0.35</v>
      </c>
      <c r="I41" s="20"/>
    </row>
    <row r="42" spans="1:11" outlineLevel="1" x14ac:dyDescent="0.25">
      <c r="A42" s="10" t="s">
        <v>129</v>
      </c>
      <c r="C42" s="63">
        <v>1</v>
      </c>
      <c r="D42" s="187">
        <f>SUMPRODUCT(D43:D46,$J$43:$J$46)</f>
        <v>1</v>
      </c>
      <c r="E42" s="104">
        <f t="shared" ref="E42:H42" si="7">SUMPRODUCT(E43:E46,$J$43:$J$46)</f>
        <v>1</v>
      </c>
      <c r="F42" s="104">
        <f t="shared" si="7"/>
        <v>1</v>
      </c>
      <c r="G42" s="104">
        <f t="shared" si="7"/>
        <v>1</v>
      </c>
      <c r="H42" s="104">
        <f t="shared" si="7"/>
        <v>1</v>
      </c>
      <c r="I42" s="20"/>
      <c r="J42" s="84" t="s">
        <v>97</v>
      </c>
    </row>
    <row r="43" spans="1:11" outlineLevel="2" x14ac:dyDescent="0.25">
      <c r="A43" s="10" t="s">
        <v>130</v>
      </c>
      <c r="C43" s="63"/>
      <c r="D43" s="96">
        <v>1</v>
      </c>
      <c r="E43" s="96">
        <v>1</v>
      </c>
      <c r="F43" s="96">
        <v>1</v>
      </c>
      <c r="G43" s="96">
        <v>1</v>
      </c>
      <c r="H43" s="96">
        <v>1</v>
      </c>
      <c r="I43" s="20"/>
      <c r="J43" s="86">
        <v>0.25</v>
      </c>
      <c r="K43" s="144" t="s">
        <v>314</v>
      </c>
    </row>
    <row r="44" spans="1:11" outlineLevel="2" x14ac:dyDescent="0.25">
      <c r="A44" s="10" t="s">
        <v>131</v>
      </c>
      <c r="C44" s="63"/>
      <c r="D44" s="96">
        <v>1</v>
      </c>
      <c r="E44" s="96">
        <v>1</v>
      </c>
      <c r="F44" s="96">
        <v>1</v>
      </c>
      <c r="G44" s="96">
        <v>1</v>
      </c>
      <c r="H44" s="96">
        <v>1</v>
      </c>
      <c r="J44" s="86">
        <v>0.25</v>
      </c>
      <c r="K44" s="2" t="s">
        <v>315</v>
      </c>
    </row>
    <row r="45" spans="1:11" outlineLevel="2" x14ac:dyDescent="0.25">
      <c r="A45" s="10" t="s">
        <v>132</v>
      </c>
      <c r="C45" s="63"/>
      <c r="D45" s="96">
        <v>1</v>
      </c>
      <c r="E45" s="96">
        <v>1</v>
      </c>
      <c r="F45" s="96">
        <v>1</v>
      </c>
      <c r="G45" s="96">
        <v>1</v>
      </c>
      <c r="H45" s="96">
        <v>1</v>
      </c>
      <c r="J45" s="86">
        <v>0.25</v>
      </c>
      <c r="K45" s="2" t="s">
        <v>318</v>
      </c>
    </row>
    <row r="46" spans="1:11" outlineLevel="2" x14ac:dyDescent="0.25">
      <c r="A46" s="10" t="s">
        <v>100</v>
      </c>
      <c r="C46" s="63"/>
      <c r="D46" s="96">
        <v>1</v>
      </c>
      <c r="E46" s="96">
        <v>1</v>
      </c>
      <c r="F46" s="96">
        <v>1</v>
      </c>
      <c r="G46" s="96">
        <v>1</v>
      </c>
      <c r="H46" s="96">
        <v>1</v>
      </c>
      <c r="J46" s="87">
        <f>1-(SUM(J43:J45))</f>
        <v>0.25</v>
      </c>
      <c r="K46" s="2" t="s">
        <v>316</v>
      </c>
    </row>
    <row r="47" spans="1:11" outlineLevel="1" x14ac:dyDescent="0.25">
      <c r="A47" s="70" t="s">
        <v>133</v>
      </c>
      <c r="C47" s="97">
        <v>0.32379999999999998</v>
      </c>
      <c r="D47" s="97">
        <f>D41*D42</f>
        <v>0.35</v>
      </c>
      <c r="E47" s="97">
        <f t="shared" ref="E47:H47" si="8">E41*E42</f>
        <v>0.35</v>
      </c>
      <c r="F47" s="97">
        <f t="shared" si="8"/>
        <v>0.35</v>
      </c>
      <c r="G47" s="97">
        <f t="shared" si="8"/>
        <v>0.35</v>
      </c>
      <c r="H47" s="97">
        <f t="shared" si="8"/>
        <v>0.35</v>
      </c>
      <c r="J47" s="94">
        <f>SUM(J43:J46)</f>
        <v>1</v>
      </c>
      <c r="K47" s="2" t="s">
        <v>317</v>
      </c>
    </row>
    <row r="48" spans="1:11" outlineLevel="1" x14ac:dyDescent="0.25">
      <c r="A48" s="2" t="s">
        <v>134</v>
      </c>
      <c r="C48" s="67">
        <v>0</v>
      </c>
      <c r="D48" s="98">
        <v>0.05</v>
      </c>
      <c r="E48" s="98">
        <v>0.1</v>
      </c>
      <c r="F48" s="98">
        <v>0.15</v>
      </c>
      <c r="G48" s="98">
        <v>0.2</v>
      </c>
      <c r="H48" s="98">
        <v>0.25</v>
      </c>
    </row>
    <row r="49" spans="1:10" outlineLevel="1" x14ac:dyDescent="0.25">
      <c r="C49" s="67"/>
      <c r="D49" s="67"/>
      <c r="E49" s="67"/>
      <c r="F49" s="67"/>
      <c r="G49" s="67"/>
      <c r="H49" s="67"/>
    </row>
    <row r="50" spans="1:10" outlineLevel="1" x14ac:dyDescent="0.25">
      <c r="A50" s="73" t="s">
        <v>135</v>
      </c>
      <c r="C50"/>
      <c r="D50"/>
      <c r="E50"/>
      <c r="F50"/>
      <c r="G50"/>
      <c r="H50"/>
    </row>
    <row r="51" spans="1:10" outlineLevel="2" x14ac:dyDescent="0.25">
      <c r="A51" s="75" t="s">
        <v>136</v>
      </c>
      <c r="C51"/>
      <c r="D51"/>
      <c r="E51"/>
      <c r="F51"/>
      <c r="G51"/>
      <c r="H51"/>
    </row>
    <row r="52" spans="1:10" outlineLevel="2" x14ac:dyDescent="0.25">
      <c r="A52" s="72" t="s">
        <v>137</v>
      </c>
      <c r="C52" s="2">
        <f>C133</f>
        <v>-62476875.529469013</v>
      </c>
      <c r="D52" s="2">
        <f t="shared" ref="D52:H52" si="9">D133</f>
        <v>-69089858.641421258</v>
      </c>
      <c r="E52" s="2">
        <f t="shared" si="9"/>
        <v>-71544141.290983245</v>
      </c>
      <c r="F52" s="2">
        <f t="shared" si="9"/>
        <v>-73603408.968069106</v>
      </c>
      <c r="G52" s="2">
        <f t="shared" si="9"/>
        <v>-75075477.14743048</v>
      </c>
      <c r="H52" s="2">
        <f t="shared" si="9"/>
        <v>-72557282.670859113</v>
      </c>
    </row>
    <row r="53" spans="1:10" outlineLevel="2" x14ac:dyDescent="0.25">
      <c r="A53" s="72" t="s">
        <v>57</v>
      </c>
      <c r="C53" s="2">
        <f t="shared" ref="C53:H53" si="10">C220</f>
        <v>0</v>
      </c>
      <c r="D53" s="2">
        <f t="shared" si="10"/>
        <v>-6523604.5758225685</v>
      </c>
      <c r="E53" s="2">
        <f t="shared" si="10"/>
        <v>-12830973.74769252</v>
      </c>
      <c r="F53" s="2">
        <f t="shared" si="10"/>
        <v>-19930153.645345338</v>
      </c>
      <c r="G53" s="2">
        <f t="shared" si="10"/>
        <v>-27338409.045282818</v>
      </c>
      <c r="H53" s="2">
        <f t="shared" si="10"/>
        <v>-34856471.532735586</v>
      </c>
    </row>
    <row r="54" spans="1:10" outlineLevel="2" x14ac:dyDescent="0.25">
      <c r="A54" s="72" t="s">
        <v>138</v>
      </c>
      <c r="C54" s="2">
        <f t="shared" ref="C54:H54" si="11">C130</f>
        <v>-7334783.3540796302</v>
      </c>
      <c r="D54" s="2">
        <f t="shared" si="11"/>
        <v>-4729829.2896535536</v>
      </c>
      <c r="E54" s="2">
        <f t="shared" si="11"/>
        <v>-1760181.6562078302</v>
      </c>
      <c r="F54" s="2">
        <f t="shared" si="11"/>
        <v>0</v>
      </c>
      <c r="G54" s="2">
        <f t="shared" si="11"/>
        <v>0</v>
      </c>
      <c r="H54" s="2">
        <f t="shared" si="11"/>
        <v>0</v>
      </c>
      <c r="J54" s="145"/>
    </row>
    <row r="55" spans="1:10" outlineLevel="2" x14ac:dyDescent="0.25">
      <c r="A55" s="72" t="s">
        <v>139</v>
      </c>
      <c r="C55" s="2">
        <f>+-'Info Base'!$I$13*C121</f>
        <v>-164640000</v>
      </c>
      <c r="D55" s="2">
        <f>+-'Info Base'!$I$13*D121</f>
        <v>-166286400</v>
      </c>
      <c r="E55" s="2">
        <f>+-'Info Base'!$I$13*E121</f>
        <v>-169612128</v>
      </c>
      <c r="F55" s="2">
        <f>+-'Info Base'!$I$13*F121</f>
        <v>-173004370.55999997</v>
      </c>
      <c r="G55" s="2">
        <f>+-'Info Base'!$I$13*G121</f>
        <v>-176464457.97119999</v>
      </c>
      <c r="H55" s="2">
        <f>+-'Info Base'!$I$13*H121</f>
        <v>-181758391.710336</v>
      </c>
    </row>
    <row r="56" spans="1:10" outlineLevel="2" x14ac:dyDescent="0.25">
      <c r="A56" s="74" t="s">
        <v>140</v>
      </c>
      <c r="C56"/>
      <c r="D56"/>
      <c r="E56"/>
      <c r="F56"/>
      <c r="G56"/>
      <c r="H56"/>
    </row>
    <row r="57" spans="1:10" outlineLevel="2" x14ac:dyDescent="0.25">
      <c r="A57" s="72" t="s">
        <v>137</v>
      </c>
      <c r="C57" s="93">
        <v>1</v>
      </c>
      <c r="D57" s="93">
        <v>1</v>
      </c>
      <c r="E57" s="93">
        <v>1</v>
      </c>
      <c r="F57" s="93">
        <v>1</v>
      </c>
      <c r="G57" s="93">
        <v>1</v>
      </c>
      <c r="H57" s="93">
        <v>1</v>
      </c>
    </row>
    <row r="58" spans="1:10" outlineLevel="2" x14ac:dyDescent="0.25">
      <c r="A58" s="72" t="s">
        <v>57</v>
      </c>
      <c r="C58" s="93">
        <v>1</v>
      </c>
      <c r="D58" s="93">
        <v>1</v>
      </c>
      <c r="E58" s="93">
        <v>1</v>
      </c>
      <c r="F58" s="93">
        <v>1</v>
      </c>
      <c r="G58" s="93">
        <v>1</v>
      </c>
      <c r="H58" s="93">
        <v>1</v>
      </c>
    </row>
    <row r="59" spans="1:10" outlineLevel="2" x14ac:dyDescent="0.25">
      <c r="A59" s="72" t="s">
        <v>138</v>
      </c>
      <c r="C59" s="93">
        <v>1</v>
      </c>
      <c r="D59" s="93">
        <v>1</v>
      </c>
      <c r="E59" s="93">
        <v>1</v>
      </c>
      <c r="F59" s="93">
        <v>1</v>
      </c>
      <c r="G59" s="93">
        <v>1</v>
      </c>
      <c r="H59" s="93">
        <v>1</v>
      </c>
    </row>
    <row r="60" spans="1:10" outlineLevel="2" x14ac:dyDescent="0.25">
      <c r="A60" s="72" t="s">
        <v>139</v>
      </c>
      <c r="C60" s="93">
        <v>1</v>
      </c>
      <c r="D60" s="93">
        <v>1</v>
      </c>
      <c r="E60" s="93">
        <v>1</v>
      </c>
      <c r="F60" s="93">
        <v>1</v>
      </c>
      <c r="G60" s="93">
        <v>1</v>
      </c>
      <c r="H60" s="93">
        <v>1</v>
      </c>
    </row>
    <row r="61" spans="1:10" outlineLevel="2" x14ac:dyDescent="0.25">
      <c r="A61" s="72"/>
      <c r="C61"/>
      <c r="D61"/>
      <c r="E61"/>
      <c r="F61"/>
      <c r="G61"/>
      <c r="H61"/>
    </row>
    <row r="62" spans="1:10" outlineLevel="2" x14ac:dyDescent="0.25">
      <c r="A62" s="75" t="s">
        <v>141</v>
      </c>
      <c r="C62"/>
      <c r="D62"/>
      <c r="E62"/>
      <c r="F62"/>
      <c r="G62"/>
      <c r="H62"/>
    </row>
    <row r="63" spans="1:10" outlineLevel="2" x14ac:dyDescent="0.25">
      <c r="A63" s="72" t="s">
        <v>175</v>
      </c>
      <c r="C63" s="93">
        <v>0</v>
      </c>
      <c r="D63" s="93">
        <v>0</v>
      </c>
      <c r="E63" s="93">
        <v>0</v>
      </c>
      <c r="F63" s="93">
        <v>0</v>
      </c>
      <c r="G63" s="93">
        <v>0</v>
      </c>
      <c r="H63" s="93">
        <v>0</v>
      </c>
    </row>
    <row r="64" spans="1:10" outlineLevel="2" x14ac:dyDescent="0.25">
      <c r="A64" s="72" t="s">
        <v>142</v>
      </c>
      <c r="C64" s="93">
        <v>0</v>
      </c>
      <c r="D64" s="93">
        <v>0</v>
      </c>
      <c r="E64" s="93">
        <v>0</v>
      </c>
      <c r="F64" s="93">
        <v>0</v>
      </c>
      <c r="G64" s="93">
        <v>0</v>
      </c>
      <c r="H64" s="93">
        <v>0</v>
      </c>
    </row>
    <row r="65" spans="1:9" outlineLevel="2" x14ac:dyDescent="0.25">
      <c r="A65" s="74" t="s">
        <v>143</v>
      </c>
      <c r="C65"/>
      <c r="D65"/>
      <c r="E65"/>
      <c r="F65"/>
      <c r="G65"/>
      <c r="H65"/>
    </row>
    <row r="66" spans="1:9" outlineLevel="2" x14ac:dyDescent="0.25">
      <c r="A66" s="72" t="s">
        <v>175</v>
      </c>
      <c r="C66" s="93">
        <v>1</v>
      </c>
      <c r="D66" s="93">
        <v>1</v>
      </c>
      <c r="E66" s="93">
        <v>1</v>
      </c>
      <c r="F66" s="93">
        <v>1</v>
      </c>
      <c r="G66" s="93">
        <v>1</v>
      </c>
      <c r="H66" s="93">
        <v>1</v>
      </c>
    </row>
    <row r="67" spans="1:9" outlineLevel="2" x14ac:dyDescent="0.25">
      <c r="A67" s="72" t="s">
        <v>142</v>
      </c>
      <c r="C67" s="93">
        <v>1</v>
      </c>
      <c r="D67" s="93">
        <v>1</v>
      </c>
      <c r="E67" s="93">
        <v>1</v>
      </c>
      <c r="F67" s="93">
        <v>1</v>
      </c>
      <c r="G67" s="93">
        <v>1</v>
      </c>
      <c r="H67" s="93">
        <v>1</v>
      </c>
    </row>
    <row r="68" spans="1:9" outlineLevel="2" x14ac:dyDescent="0.25">
      <c r="A68" s="72"/>
      <c r="C68"/>
      <c r="D68"/>
      <c r="E68"/>
      <c r="F68"/>
      <c r="G68"/>
      <c r="H68"/>
    </row>
    <row r="69" spans="1:9" outlineLevel="1" x14ac:dyDescent="0.25">
      <c r="A69" s="10"/>
      <c r="C69"/>
      <c r="D69"/>
      <c r="E69"/>
      <c r="F69"/>
      <c r="G69"/>
      <c r="H69"/>
    </row>
    <row r="70" spans="1:9" outlineLevel="1" x14ac:dyDescent="0.25">
      <c r="A70" s="73" t="s">
        <v>144</v>
      </c>
      <c r="C70"/>
      <c r="D70"/>
      <c r="E70"/>
      <c r="F70"/>
      <c r="G70"/>
      <c r="H70"/>
    </row>
    <row r="71" spans="1:9" outlineLevel="2" x14ac:dyDescent="0.25">
      <c r="A71" s="75" t="s">
        <v>136</v>
      </c>
      <c r="C71"/>
      <c r="D71"/>
      <c r="E71"/>
      <c r="F71"/>
      <c r="G71"/>
      <c r="H71"/>
      <c r="I71" s="7" t="s">
        <v>375</v>
      </c>
    </row>
    <row r="72" spans="1:9" outlineLevel="2" x14ac:dyDescent="0.25">
      <c r="A72" s="72" t="s">
        <v>145</v>
      </c>
      <c r="C72" s="179">
        <f>+C151*10%</f>
        <v>17082880</v>
      </c>
      <c r="D72" s="179">
        <f t="shared" ref="D72:H72" si="12">+D151*10%</f>
        <v>17424537.600000001</v>
      </c>
      <c r="E72" s="179">
        <f t="shared" si="12"/>
        <v>17773028.352000002</v>
      </c>
      <c r="F72" s="179">
        <f t="shared" si="12"/>
        <v>18128488.919040002</v>
      </c>
      <c r="G72" s="179">
        <f t="shared" si="12"/>
        <v>18491058.697420802</v>
      </c>
      <c r="H72" s="179">
        <f t="shared" si="12"/>
        <v>33860879.87136922</v>
      </c>
      <c r="I72" s="190"/>
    </row>
    <row r="73" spans="1:9" outlineLevel="2" x14ac:dyDescent="0.25">
      <c r="A73" s="72" t="s">
        <v>352</v>
      </c>
      <c r="C73" s="179">
        <f>'Info Base'!B32*$I$73</f>
        <v>83333333.333333343</v>
      </c>
      <c r="D73" s="179">
        <f>+C73*(1+D4)</f>
        <v>84166666.666666672</v>
      </c>
      <c r="E73" s="179">
        <f t="shared" ref="E73:H73" si="13">+D73*(1+E4)</f>
        <v>85850000</v>
      </c>
      <c r="F73" s="179">
        <f t="shared" si="13"/>
        <v>87567000</v>
      </c>
      <c r="G73" s="179">
        <f t="shared" si="13"/>
        <v>89318340</v>
      </c>
      <c r="H73" s="179">
        <f t="shared" si="13"/>
        <v>91997890.200000003</v>
      </c>
      <c r="I73" s="190">
        <v>1000</v>
      </c>
    </row>
    <row r="74" spans="1:9" outlineLevel="2" x14ac:dyDescent="0.25">
      <c r="A74" s="72" t="s">
        <v>370</v>
      </c>
      <c r="C74" s="179">
        <f>'Info Base'!B38*$I$74</f>
        <v>2431000</v>
      </c>
      <c r="D74" s="179">
        <f>+C74*(1+D4)</f>
        <v>2455310</v>
      </c>
      <c r="E74" s="179">
        <f t="shared" ref="E74:H74" si="14">+D74*(1+E4)</f>
        <v>2504416.2000000002</v>
      </c>
      <c r="F74" s="179">
        <f t="shared" si="14"/>
        <v>2554504.5240000002</v>
      </c>
      <c r="G74" s="179">
        <f t="shared" si="14"/>
        <v>2605594.6144800005</v>
      </c>
      <c r="H74" s="179">
        <f t="shared" si="14"/>
        <v>2683762.4529144005</v>
      </c>
      <c r="I74" s="190">
        <v>1000</v>
      </c>
    </row>
    <row r="75" spans="1:9" outlineLevel="2" x14ac:dyDescent="0.25">
      <c r="A75" s="74" t="s">
        <v>140</v>
      </c>
      <c r="C75"/>
      <c r="D75"/>
      <c r="E75"/>
      <c r="F75"/>
      <c r="G75"/>
      <c r="H75"/>
    </row>
    <row r="76" spans="1:9" outlineLevel="2" x14ac:dyDescent="0.25">
      <c r="A76" s="72" t="s">
        <v>145</v>
      </c>
      <c r="C76" s="93">
        <v>1</v>
      </c>
      <c r="D76" s="93">
        <v>1</v>
      </c>
      <c r="E76" s="93">
        <v>1</v>
      </c>
      <c r="F76" s="93">
        <v>1</v>
      </c>
      <c r="G76" s="93">
        <v>1</v>
      </c>
      <c r="H76" s="93">
        <v>1</v>
      </c>
    </row>
    <row r="77" spans="1:9" outlineLevel="2" x14ac:dyDescent="0.25">
      <c r="A77" s="72" t="s">
        <v>352</v>
      </c>
      <c r="C77" s="93">
        <v>1</v>
      </c>
      <c r="D77" s="93">
        <v>1</v>
      </c>
      <c r="E77" s="93">
        <v>1</v>
      </c>
      <c r="F77" s="93">
        <v>1</v>
      </c>
      <c r="G77" s="93">
        <v>1</v>
      </c>
      <c r="H77" s="93">
        <v>1</v>
      </c>
    </row>
    <row r="78" spans="1:9" outlineLevel="2" x14ac:dyDescent="0.25">
      <c r="A78" s="72" t="s">
        <v>370</v>
      </c>
      <c r="C78" s="93">
        <v>1</v>
      </c>
      <c r="D78" s="93">
        <v>1</v>
      </c>
      <c r="E78" s="93">
        <v>1</v>
      </c>
      <c r="F78" s="93">
        <v>1</v>
      </c>
      <c r="G78" s="93">
        <v>1</v>
      </c>
      <c r="H78" s="93">
        <v>1</v>
      </c>
    </row>
    <row r="79" spans="1:9" outlineLevel="2" x14ac:dyDescent="0.25">
      <c r="A79" s="74"/>
      <c r="C79"/>
      <c r="D79"/>
      <c r="E79"/>
      <c r="F79"/>
      <c r="G79"/>
      <c r="H79"/>
    </row>
    <row r="80" spans="1:9" outlineLevel="2" x14ac:dyDescent="0.25">
      <c r="A80" s="75" t="s">
        <v>141</v>
      </c>
      <c r="C80"/>
      <c r="D80"/>
      <c r="E80"/>
      <c r="F80"/>
      <c r="G80"/>
      <c r="H80"/>
    </row>
    <row r="81" spans="1:11" outlineLevel="2" x14ac:dyDescent="0.25">
      <c r="A81" s="72" t="s">
        <v>146</v>
      </c>
      <c r="C81" s="93">
        <v>0</v>
      </c>
      <c r="D81" s="93">
        <v>0</v>
      </c>
      <c r="E81" s="93">
        <v>0</v>
      </c>
      <c r="F81" s="93">
        <v>0</v>
      </c>
      <c r="G81" s="93">
        <v>0</v>
      </c>
      <c r="H81" s="93">
        <v>0</v>
      </c>
    </row>
    <row r="82" spans="1:11" outlineLevel="2" x14ac:dyDescent="0.25">
      <c r="A82" s="72" t="s">
        <v>147</v>
      </c>
      <c r="C82" s="93">
        <v>0</v>
      </c>
      <c r="D82" s="93">
        <v>0</v>
      </c>
      <c r="E82" s="93">
        <v>0</v>
      </c>
      <c r="F82" s="93">
        <v>0</v>
      </c>
      <c r="G82" s="93">
        <v>0</v>
      </c>
      <c r="H82" s="93">
        <v>0</v>
      </c>
      <c r="K82" s="144" t="s">
        <v>319</v>
      </c>
    </row>
    <row r="83" spans="1:11" outlineLevel="2" x14ac:dyDescent="0.25">
      <c r="A83" s="74" t="s">
        <v>143</v>
      </c>
      <c r="C83"/>
      <c r="D83"/>
      <c r="E83"/>
      <c r="F83"/>
      <c r="G83"/>
      <c r="H83"/>
    </row>
    <row r="84" spans="1:11" outlineLevel="2" x14ac:dyDescent="0.25">
      <c r="A84" s="72" t="s">
        <v>146</v>
      </c>
      <c r="C84" s="93">
        <v>1</v>
      </c>
      <c r="D84" s="93">
        <v>1</v>
      </c>
      <c r="E84" s="93">
        <v>1</v>
      </c>
      <c r="F84" s="93">
        <v>1</v>
      </c>
      <c r="G84" s="93">
        <v>1</v>
      </c>
      <c r="H84" s="93">
        <v>1</v>
      </c>
    </row>
    <row r="85" spans="1:11" outlineLevel="2" x14ac:dyDescent="0.25">
      <c r="A85" s="72" t="s">
        <v>147</v>
      </c>
      <c r="C85" s="93">
        <v>1</v>
      </c>
      <c r="D85" s="93">
        <v>1</v>
      </c>
      <c r="E85" s="93">
        <v>1</v>
      </c>
      <c r="F85" s="93">
        <v>1</v>
      </c>
      <c r="G85" s="93">
        <v>1</v>
      </c>
      <c r="H85" s="93">
        <v>1</v>
      </c>
    </row>
    <row r="86" spans="1:11" outlineLevel="2" x14ac:dyDescent="0.25">
      <c r="A86" s="72"/>
      <c r="C86" s="122"/>
      <c r="D86" s="122"/>
      <c r="E86" s="122"/>
      <c r="F86" s="122"/>
      <c r="G86" s="122"/>
      <c r="H86" s="122"/>
    </row>
    <row r="87" spans="1:11" outlineLevel="1" x14ac:dyDescent="0.25">
      <c r="C87" s="67"/>
      <c r="D87" s="67"/>
      <c r="E87" s="67"/>
      <c r="F87" s="67"/>
      <c r="G87" s="67"/>
      <c r="H87" s="67"/>
    </row>
    <row r="88" spans="1:11" outlineLevel="1" x14ac:dyDescent="0.25">
      <c r="A88" s="73" t="s">
        <v>148</v>
      </c>
      <c r="C88" s="67"/>
      <c r="D88" s="67"/>
      <c r="E88" s="67"/>
      <c r="F88" s="67"/>
      <c r="G88" s="67"/>
      <c r="H88" s="67"/>
    </row>
    <row r="89" spans="1:11" outlineLevel="2" x14ac:dyDescent="0.25">
      <c r="A89" s="75" t="s">
        <v>136</v>
      </c>
      <c r="C89" s="67"/>
      <c r="D89" s="67"/>
      <c r="E89" s="67"/>
      <c r="F89" s="67"/>
      <c r="G89" s="67"/>
      <c r="H89" s="67"/>
    </row>
    <row r="90" spans="1:11" outlineLevel="2" x14ac:dyDescent="0.25">
      <c r="A90" s="72" t="s">
        <v>364</v>
      </c>
      <c r="C90" s="42">
        <f>+Indicadores!C25*I90*12</f>
        <v>66666666.666666657</v>
      </c>
      <c r="D90" s="42">
        <f>+C90*(1+D$4)</f>
        <v>67333333.333333328</v>
      </c>
      <c r="E90" s="42">
        <f t="shared" ref="E90:H90" si="15">+D90*(1+E$4)</f>
        <v>68680000</v>
      </c>
      <c r="F90" s="42">
        <f t="shared" si="15"/>
        <v>70053600</v>
      </c>
      <c r="G90" s="42">
        <f t="shared" si="15"/>
        <v>71454672</v>
      </c>
      <c r="H90" s="42">
        <f t="shared" si="15"/>
        <v>73598312.159999996</v>
      </c>
      <c r="I90" s="190">
        <v>100</v>
      </c>
    </row>
    <row r="91" spans="1:11" outlineLevel="2" x14ac:dyDescent="0.25">
      <c r="A91" s="72" t="s">
        <v>365</v>
      </c>
      <c r="C91" s="42">
        <f>+Indicadores!C26*I91*12</f>
        <v>400000000</v>
      </c>
      <c r="D91" s="42">
        <f t="shared" ref="D91:H91" si="16">+C91*(1+D$4)</f>
        <v>404000000</v>
      </c>
      <c r="E91" s="42">
        <f t="shared" si="16"/>
        <v>412080000</v>
      </c>
      <c r="F91" s="42">
        <f t="shared" si="16"/>
        <v>420321600</v>
      </c>
      <c r="G91" s="42">
        <f t="shared" si="16"/>
        <v>428728032</v>
      </c>
      <c r="H91" s="42">
        <f t="shared" si="16"/>
        <v>441589872.96000004</v>
      </c>
      <c r="I91" s="190">
        <v>20</v>
      </c>
    </row>
    <row r="92" spans="1:11" outlineLevel="2" x14ac:dyDescent="0.25">
      <c r="A92" s="72" t="s">
        <v>367</v>
      </c>
      <c r="C92" s="42">
        <f>+Indicadores!C27*I92*12</f>
        <v>1200000</v>
      </c>
      <c r="D92" s="42">
        <f t="shared" ref="D92:H92" si="17">+C92*(1+D$4)</f>
        <v>1212000</v>
      </c>
      <c r="E92" s="42">
        <f t="shared" si="17"/>
        <v>1236240</v>
      </c>
      <c r="F92" s="42">
        <f t="shared" si="17"/>
        <v>1260964.8</v>
      </c>
      <c r="G92" s="42">
        <f t="shared" si="17"/>
        <v>1286184.0960000001</v>
      </c>
      <c r="H92" s="42">
        <f t="shared" si="17"/>
        <v>1324769.6188800002</v>
      </c>
      <c r="I92" s="190">
        <v>20</v>
      </c>
    </row>
    <row r="93" spans="1:11" outlineLevel="2" x14ac:dyDescent="0.25">
      <c r="A93" s="72" t="s">
        <v>371</v>
      </c>
      <c r="C93" s="42">
        <f>+Indicadores!C28*I93*12</f>
        <v>22800000</v>
      </c>
      <c r="D93" s="42">
        <f t="shared" ref="D93:H93" si="18">+C93*(1+D$4)</f>
        <v>23028000</v>
      </c>
      <c r="E93" s="42">
        <f t="shared" si="18"/>
        <v>23488560</v>
      </c>
      <c r="F93" s="42">
        <f t="shared" si="18"/>
        <v>23958331.199999999</v>
      </c>
      <c r="G93" s="42">
        <f t="shared" si="18"/>
        <v>24437497.824000001</v>
      </c>
      <c r="H93" s="42">
        <f t="shared" si="18"/>
        <v>25170622.758720003</v>
      </c>
      <c r="I93" s="190">
        <v>100</v>
      </c>
    </row>
    <row r="94" spans="1:11" outlineLevel="2" x14ac:dyDescent="0.25">
      <c r="A94" s="72" t="s">
        <v>372</v>
      </c>
      <c r="C94" s="42">
        <f>+Indicadores!C29*I94*12</f>
        <v>2160000</v>
      </c>
      <c r="D94" s="42">
        <f t="shared" ref="D94:H94" si="19">+C94*(1+D$4)</f>
        <v>2181600</v>
      </c>
      <c r="E94" s="42">
        <f t="shared" si="19"/>
        <v>2225232</v>
      </c>
      <c r="F94" s="42">
        <f t="shared" si="19"/>
        <v>2269736.64</v>
      </c>
      <c r="G94" s="42">
        <f t="shared" si="19"/>
        <v>2315131.3728</v>
      </c>
      <c r="H94" s="42">
        <f t="shared" si="19"/>
        <v>2384585.3139840001</v>
      </c>
      <c r="I94" s="190">
        <v>20</v>
      </c>
    </row>
    <row r="95" spans="1:11" outlineLevel="2" x14ac:dyDescent="0.25">
      <c r="A95" s="74" t="s">
        <v>140</v>
      </c>
      <c r="C95" s="67"/>
      <c r="D95" s="67"/>
      <c r="E95" s="67"/>
      <c r="F95" s="67"/>
      <c r="G95" s="67"/>
      <c r="H95" s="67"/>
    </row>
    <row r="96" spans="1:11" outlineLevel="2" x14ac:dyDescent="0.25">
      <c r="A96" s="72" t="s">
        <v>364</v>
      </c>
      <c r="C96" s="93">
        <v>1</v>
      </c>
      <c r="D96" s="93">
        <v>1</v>
      </c>
      <c r="E96" s="93">
        <v>1</v>
      </c>
      <c r="F96" s="93">
        <v>1</v>
      </c>
      <c r="G96" s="93">
        <v>1</v>
      </c>
      <c r="H96" s="93">
        <v>1</v>
      </c>
    </row>
    <row r="97" spans="1:8" outlineLevel="2" x14ac:dyDescent="0.25">
      <c r="A97" s="72" t="s">
        <v>365</v>
      </c>
      <c r="C97" s="93">
        <v>1</v>
      </c>
      <c r="D97" s="93">
        <v>1</v>
      </c>
      <c r="E97" s="93">
        <v>1</v>
      </c>
      <c r="F97" s="93">
        <v>1</v>
      </c>
      <c r="G97" s="93">
        <v>1</v>
      </c>
      <c r="H97" s="93">
        <v>1</v>
      </c>
    </row>
    <row r="98" spans="1:8" outlineLevel="2" x14ac:dyDescent="0.25">
      <c r="A98" s="72" t="s">
        <v>367</v>
      </c>
      <c r="C98" s="93">
        <v>1</v>
      </c>
      <c r="D98" s="93">
        <v>1</v>
      </c>
      <c r="E98" s="93">
        <v>1</v>
      </c>
      <c r="F98" s="93">
        <v>1</v>
      </c>
      <c r="G98" s="93">
        <v>1</v>
      </c>
      <c r="H98" s="93">
        <v>1</v>
      </c>
    </row>
    <row r="99" spans="1:8" outlineLevel="2" x14ac:dyDescent="0.25">
      <c r="A99" s="72" t="s">
        <v>371</v>
      </c>
      <c r="C99" s="93">
        <v>1</v>
      </c>
      <c r="D99" s="93">
        <v>1</v>
      </c>
      <c r="E99" s="93">
        <v>1</v>
      </c>
      <c r="F99" s="93">
        <v>1</v>
      </c>
      <c r="G99" s="93">
        <v>1</v>
      </c>
      <c r="H99" s="93">
        <v>1</v>
      </c>
    </row>
    <row r="100" spans="1:8" outlineLevel="2" x14ac:dyDescent="0.25">
      <c r="A100" s="72" t="s">
        <v>372</v>
      </c>
      <c r="C100" s="93">
        <v>1</v>
      </c>
      <c r="D100" s="93">
        <v>1</v>
      </c>
      <c r="E100" s="93">
        <v>1</v>
      </c>
      <c r="F100" s="93">
        <v>1</v>
      </c>
      <c r="G100" s="93">
        <v>1</v>
      </c>
      <c r="H100" s="93">
        <v>1</v>
      </c>
    </row>
    <row r="101" spans="1:8" outlineLevel="2" x14ac:dyDescent="0.25">
      <c r="A101" s="10"/>
      <c r="C101" s="67"/>
      <c r="D101" s="67"/>
      <c r="E101" s="67"/>
      <c r="F101" s="67"/>
      <c r="G101" s="67"/>
      <c r="H101" s="67"/>
    </row>
    <row r="102" spans="1:8" outlineLevel="2" x14ac:dyDescent="0.25">
      <c r="A102" s="75" t="s">
        <v>141</v>
      </c>
      <c r="C102" s="67"/>
      <c r="D102" s="67"/>
      <c r="E102" s="67"/>
      <c r="F102" s="67"/>
      <c r="G102" s="67"/>
      <c r="H102" s="67"/>
    </row>
    <row r="103" spans="1:8" outlineLevel="2" x14ac:dyDescent="0.25">
      <c r="A103" s="72" t="s">
        <v>149</v>
      </c>
      <c r="C103" s="93">
        <v>0</v>
      </c>
      <c r="D103" s="93">
        <v>0</v>
      </c>
      <c r="E103" s="93">
        <v>0</v>
      </c>
      <c r="F103" s="93">
        <v>0</v>
      </c>
      <c r="G103" s="93">
        <v>0</v>
      </c>
      <c r="H103" s="93">
        <v>0</v>
      </c>
    </row>
    <row r="104" spans="1:8" outlineLevel="2" x14ac:dyDescent="0.25">
      <c r="A104" s="72" t="s">
        <v>150</v>
      </c>
      <c r="C104" s="93">
        <v>0</v>
      </c>
      <c r="D104" s="93">
        <v>0</v>
      </c>
      <c r="E104" s="93">
        <v>0</v>
      </c>
      <c r="F104" s="93">
        <v>0</v>
      </c>
      <c r="G104" s="93">
        <v>0</v>
      </c>
      <c r="H104" s="93">
        <v>0</v>
      </c>
    </row>
    <row r="105" spans="1:8" outlineLevel="2" x14ac:dyDescent="0.25">
      <c r="A105" s="72" t="s">
        <v>151</v>
      </c>
      <c r="C105" s="93">
        <v>0</v>
      </c>
      <c r="D105" s="93">
        <v>0</v>
      </c>
      <c r="E105" s="93">
        <v>0</v>
      </c>
      <c r="F105" s="93">
        <v>0</v>
      </c>
      <c r="G105" s="93">
        <v>0</v>
      </c>
      <c r="H105" s="93">
        <v>0</v>
      </c>
    </row>
    <row r="106" spans="1:8" outlineLevel="2" x14ac:dyDescent="0.25">
      <c r="A106" s="72" t="s">
        <v>152</v>
      </c>
      <c r="C106" s="93">
        <v>0</v>
      </c>
      <c r="D106" s="93">
        <v>0</v>
      </c>
      <c r="E106" s="93">
        <v>0</v>
      </c>
      <c r="F106" s="93">
        <v>0</v>
      </c>
      <c r="G106" s="93">
        <v>0</v>
      </c>
      <c r="H106" s="93">
        <v>0</v>
      </c>
    </row>
    <row r="107" spans="1:8" outlineLevel="2" x14ac:dyDescent="0.25">
      <c r="A107" s="72" t="s">
        <v>153</v>
      </c>
      <c r="C107" s="93">
        <v>0</v>
      </c>
      <c r="D107" s="93">
        <v>0</v>
      </c>
      <c r="E107" s="93">
        <v>0</v>
      </c>
      <c r="F107" s="93">
        <v>0</v>
      </c>
      <c r="G107" s="93">
        <v>0</v>
      </c>
      <c r="H107" s="93">
        <v>0</v>
      </c>
    </row>
    <row r="108" spans="1:8" outlineLevel="2" x14ac:dyDescent="0.25">
      <c r="A108" s="74" t="s">
        <v>143</v>
      </c>
    </row>
    <row r="109" spans="1:8" outlineLevel="2" x14ac:dyDescent="0.25">
      <c r="A109" s="72" t="s">
        <v>149</v>
      </c>
      <c r="C109" s="91">
        <v>1</v>
      </c>
      <c r="D109" s="91">
        <v>1</v>
      </c>
      <c r="E109" s="91">
        <v>1</v>
      </c>
      <c r="F109" s="91">
        <v>1</v>
      </c>
      <c r="G109" s="91">
        <v>1</v>
      </c>
      <c r="H109" s="91">
        <v>1</v>
      </c>
    </row>
    <row r="110" spans="1:8" outlineLevel="2" x14ac:dyDescent="0.25">
      <c r="A110" s="72" t="s">
        <v>150</v>
      </c>
      <c r="C110" s="91">
        <v>1</v>
      </c>
      <c r="D110" s="91">
        <v>1</v>
      </c>
      <c r="E110" s="91">
        <v>1</v>
      </c>
      <c r="F110" s="91">
        <v>1</v>
      </c>
      <c r="G110" s="91">
        <v>1</v>
      </c>
      <c r="H110" s="91">
        <v>1</v>
      </c>
    </row>
    <row r="111" spans="1:8" outlineLevel="2" x14ac:dyDescent="0.25">
      <c r="A111" s="72" t="s">
        <v>151</v>
      </c>
      <c r="C111" s="91">
        <v>1</v>
      </c>
      <c r="D111" s="91">
        <v>1</v>
      </c>
      <c r="E111" s="91">
        <v>1</v>
      </c>
      <c r="F111" s="91">
        <v>1</v>
      </c>
      <c r="G111" s="91">
        <v>1</v>
      </c>
      <c r="H111" s="91">
        <v>1</v>
      </c>
    </row>
    <row r="112" spans="1:8" outlineLevel="2" x14ac:dyDescent="0.25">
      <c r="A112" s="72" t="s">
        <v>152</v>
      </c>
      <c r="C112" s="91">
        <v>1</v>
      </c>
      <c r="D112" s="91">
        <v>1</v>
      </c>
      <c r="E112" s="91">
        <v>1</v>
      </c>
      <c r="F112" s="91">
        <v>1</v>
      </c>
      <c r="G112" s="91">
        <v>1</v>
      </c>
      <c r="H112" s="91">
        <v>1</v>
      </c>
    </row>
    <row r="113" spans="1:9" outlineLevel="2" x14ac:dyDescent="0.25">
      <c r="A113" s="72" t="s">
        <v>154</v>
      </c>
      <c r="C113" s="91">
        <v>1</v>
      </c>
      <c r="D113" s="91">
        <v>1</v>
      </c>
      <c r="E113" s="91">
        <v>1</v>
      </c>
      <c r="F113" s="91">
        <v>1</v>
      </c>
      <c r="G113" s="91">
        <v>1</v>
      </c>
      <c r="H113" s="91">
        <v>1</v>
      </c>
    </row>
    <row r="114" spans="1:9" outlineLevel="1" x14ac:dyDescent="0.25">
      <c r="A114" s="72"/>
    </row>
    <row r="115" spans="1:9" outlineLevel="1" x14ac:dyDescent="0.25">
      <c r="A115" s="72"/>
    </row>
    <row r="116" spans="1:9" outlineLevel="1" x14ac:dyDescent="0.25">
      <c r="A116" s="72"/>
    </row>
    <row r="117" spans="1:9" x14ac:dyDescent="0.25">
      <c r="A117" s="22" t="s">
        <v>0</v>
      </c>
    </row>
    <row r="118" spans="1:9" x14ac:dyDescent="0.25">
      <c r="A118" s="22" t="s">
        <v>1</v>
      </c>
      <c r="C118" s="69"/>
      <c r="D118" s="69"/>
      <c r="E118" s="69"/>
      <c r="F118" s="69"/>
      <c r="G118" s="69"/>
      <c r="H118" s="69"/>
    </row>
    <row r="119" spans="1:9" x14ac:dyDescent="0.25">
      <c r="A119" s="22" t="s">
        <v>301</v>
      </c>
    </row>
    <row r="120" spans="1:9" x14ac:dyDescent="0.25">
      <c r="A120" s="5"/>
      <c r="B120" s="5"/>
      <c r="C120" s="13">
        <v>2022</v>
      </c>
      <c r="D120" s="19">
        <v>2023</v>
      </c>
      <c r="E120" s="19">
        <v>2024</v>
      </c>
      <c r="F120" s="19">
        <v>2025</v>
      </c>
      <c r="G120" s="19">
        <v>2026</v>
      </c>
      <c r="H120" s="19">
        <v>2027</v>
      </c>
    </row>
    <row r="121" spans="1:9" outlineLevel="1" x14ac:dyDescent="0.25">
      <c r="A121" s="2" t="s">
        <v>2</v>
      </c>
      <c r="C121" s="150">
        <f>+'Info Base'!E18</f>
        <v>600000000</v>
      </c>
      <c r="D121" s="6">
        <f>C121*(1+D10)</f>
        <v>606000000</v>
      </c>
      <c r="E121" s="6">
        <f>D121*(1+E10)</f>
        <v>618120000</v>
      </c>
      <c r="F121" s="6">
        <f>E121*(1+F10)</f>
        <v>630482400</v>
      </c>
      <c r="G121" s="6">
        <f>F121*(1+G10)</f>
        <v>643092048</v>
      </c>
      <c r="H121" s="6">
        <f>G121*(1+H10)</f>
        <v>662384809.44000006</v>
      </c>
    </row>
    <row r="122" spans="1:9" outlineLevel="1" x14ac:dyDescent="0.25">
      <c r="A122" s="2" t="s">
        <v>155</v>
      </c>
      <c r="C122" s="9">
        <f>-C121*C17</f>
        <v>-282000000</v>
      </c>
      <c r="D122" s="9">
        <f t="shared" ref="D122:H122" si="20">-D121*D17</f>
        <v>-284820000</v>
      </c>
      <c r="E122" s="9">
        <f t="shared" si="20"/>
        <v>-290516400</v>
      </c>
      <c r="F122" s="9">
        <f t="shared" si="20"/>
        <v>-296326728</v>
      </c>
      <c r="G122" s="9">
        <f t="shared" si="20"/>
        <v>-302253262.56</v>
      </c>
      <c r="H122" s="9">
        <f t="shared" si="20"/>
        <v>-311320860.4368</v>
      </c>
      <c r="I122" s="69"/>
    </row>
    <row r="123" spans="1:9" outlineLevel="1" x14ac:dyDescent="0.25">
      <c r="A123" s="2" t="s">
        <v>156</v>
      </c>
      <c r="C123" s="2">
        <f>SUM(C121:C122)</f>
        <v>318000000</v>
      </c>
      <c r="D123" s="6">
        <f>SUM(D121:D122)</f>
        <v>321180000</v>
      </c>
      <c r="E123" s="6">
        <f t="shared" ref="E123:H123" si="21">SUM(E121:E122)</f>
        <v>327603600</v>
      </c>
      <c r="F123" s="6">
        <f t="shared" si="21"/>
        <v>334155672</v>
      </c>
      <c r="G123" s="6">
        <f t="shared" si="21"/>
        <v>340838785.44</v>
      </c>
      <c r="H123" s="6">
        <f t="shared" si="21"/>
        <v>351063949.00320005</v>
      </c>
    </row>
    <row r="124" spans="1:9" outlineLevel="1" x14ac:dyDescent="0.25">
      <c r="D124" s="6"/>
      <c r="E124" s="6"/>
      <c r="F124" s="6"/>
      <c r="G124" s="6"/>
      <c r="H124" s="6"/>
    </row>
    <row r="125" spans="1:9" outlineLevel="1" x14ac:dyDescent="0.25">
      <c r="A125" s="2" t="s">
        <v>157</v>
      </c>
      <c r="C125" s="6">
        <f t="shared" ref="C125:H125" si="22">-C121*C24</f>
        <v>-102000000</v>
      </c>
      <c r="D125" s="6">
        <f t="shared" si="22"/>
        <v>-103020000</v>
      </c>
      <c r="E125" s="6">
        <f t="shared" si="22"/>
        <v>-105080400.00000001</v>
      </c>
      <c r="F125" s="6">
        <f t="shared" si="22"/>
        <v>-107182008.00000001</v>
      </c>
      <c r="G125" s="6">
        <f t="shared" si="22"/>
        <v>-109325648.16000001</v>
      </c>
      <c r="H125" s="6">
        <f t="shared" si="22"/>
        <v>-112605417.60480002</v>
      </c>
    </row>
    <row r="126" spans="1:9" outlineLevel="1" x14ac:dyDescent="0.25">
      <c r="A126" s="2" t="s">
        <v>44</v>
      </c>
      <c r="C126" s="9">
        <f>C152-B152</f>
        <v>-15716249.6</v>
      </c>
      <c r="D126" s="9">
        <f>D152-C152</f>
        <v>-16030574.592000002</v>
      </c>
      <c r="E126" s="9">
        <f>E152-D152</f>
        <v>-16351186.083839998</v>
      </c>
      <c r="F126" s="9">
        <f t="shared" ref="F126:H126" si="23">F152-E152</f>
        <v>-16678209.805516802</v>
      </c>
      <c r="G126" s="9">
        <f t="shared" si="23"/>
        <v>-17011774.00162714</v>
      </c>
      <c r="H126" s="9">
        <f t="shared" si="23"/>
        <v>-31152009.481659681</v>
      </c>
    </row>
    <row r="127" spans="1:9" outlineLevel="1" x14ac:dyDescent="0.25">
      <c r="A127" s="2" t="s">
        <v>158</v>
      </c>
      <c r="C127" s="2">
        <f t="shared" ref="C127:H127" si="24">SUM(C123:C126)</f>
        <v>200283750.40000001</v>
      </c>
      <c r="D127" s="2">
        <f t="shared" si="24"/>
        <v>202129425.40799999</v>
      </c>
      <c r="E127" s="2">
        <f t="shared" si="24"/>
        <v>206172013.91615999</v>
      </c>
      <c r="F127" s="2">
        <f t="shared" si="24"/>
        <v>210295454.19448319</v>
      </c>
      <c r="G127" s="2">
        <f t="shared" si="24"/>
        <v>214501363.27837282</v>
      </c>
      <c r="H127" s="2">
        <f t="shared" si="24"/>
        <v>207306521.91674036</v>
      </c>
    </row>
    <row r="128" spans="1:9" outlineLevel="1" x14ac:dyDescent="0.25">
      <c r="D128" s="6"/>
      <c r="E128" s="6"/>
      <c r="F128" s="6"/>
      <c r="G128" s="6"/>
      <c r="H128" s="6"/>
    </row>
    <row r="129" spans="1:9" outlineLevel="1" x14ac:dyDescent="0.25">
      <c r="A129" s="2" t="s">
        <v>3</v>
      </c>
      <c r="C129" s="6">
        <f t="shared" ref="C129:H129" si="25">C144*C50</f>
        <v>0</v>
      </c>
      <c r="D129" s="6">
        <f t="shared" si="25"/>
        <v>0</v>
      </c>
      <c r="E129" s="6">
        <f t="shared" si="25"/>
        <v>0</v>
      </c>
      <c r="F129" s="6">
        <f t="shared" si="25"/>
        <v>0</v>
      </c>
      <c r="G129" s="6">
        <f t="shared" si="25"/>
        <v>0</v>
      </c>
      <c r="H129" s="6">
        <f t="shared" si="25"/>
        <v>0</v>
      </c>
    </row>
    <row r="130" spans="1:9" outlineLevel="1" x14ac:dyDescent="0.25">
      <c r="A130" s="2" t="s">
        <v>4</v>
      </c>
      <c r="C130" s="151">
        <f>-SUM(Préstamo!D15:D26)</f>
        <v>-7334783.3540796302</v>
      </c>
      <c r="D130" s="151">
        <f>-SUM(Préstamo!D27:D38)</f>
        <v>-4729829.2896535536</v>
      </c>
      <c r="E130" s="151">
        <f>-SUM(Préstamo!D39:D50)</f>
        <v>-1760181.6562078302</v>
      </c>
      <c r="F130" s="9">
        <f>-(F162+F170)*F38</f>
        <v>0</v>
      </c>
      <c r="G130" s="9">
        <f>-(G162+G170)*G38</f>
        <v>0</v>
      </c>
      <c r="H130" s="9">
        <f>-(H162+H170)*H38</f>
        <v>0</v>
      </c>
    </row>
    <row r="131" spans="1:9" outlineLevel="1" x14ac:dyDescent="0.25">
      <c r="A131" s="2" t="s">
        <v>159</v>
      </c>
      <c r="C131" s="2">
        <f>SUM(C127:C130)</f>
        <v>192948967.04592037</v>
      </c>
      <c r="D131" s="2">
        <f t="shared" ref="D131:H131" si="26">SUM(D127:D130)</f>
        <v>197399596.11834645</v>
      </c>
      <c r="E131" s="2">
        <f t="shared" si="26"/>
        <v>204411832.25995216</v>
      </c>
      <c r="F131" s="2">
        <f t="shared" si="26"/>
        <v>210295454.19448319</v>
      </c>
      <c r="G131" s="2">
        <f t="shared" si="26"/>
        <v>214501363.27837282</v>
      </c>
      <c r="H131" s="2">
        <f t="shared" si="26"/>
        <v>207306521.91674036</v>
      </c>
    </row>
    <row r="132" spans="1:9" outlineLevel="1" x14ac:dyDescent="0.25">
      <c r="D132" s="6"/>
      <c r="E132" s="6"/>
      <c r="F132" s="6"/>
      <c r="G132" s="6"/>
      <c r="H132" s="6"/>
    </row>
    <row r="133" spans="1:9" outlineLevel="1" x14ac:dyDescent="0.25">
      <c r="A133" s="2" t="s">
        <v>5</v>
      </c>
      <c r="C133" s="6">
        <f>IF(C131&lt;0,0,-C131*C47)</f>
        <v>-62476875.529469013</v>
      </c>
      <c r="D133" s="6">
        <f t="shared" ref="D133:H133" si="27">IF(D131&lt;0,0,-D131*D47)</f>
        <v>-69089858.641421258</v>
      </c>
      <c r="E133" s="6">
        <f t="shared" si="27"/>
        <v>-71544141.290983245</v>
      </c>
      <c r="F133" s="6">
        <f t="shared" si="27"/>
        <v>-73603408.968069106</v>
      </c>
      <c r="G133" s="6">
        <f t="shared" si="27"/>
        <v>-75075477.14743048</v>
      </c>
      <c r="H133" s="6">
        <f t="shared" si="27"/>
        <v>-72557282.670859113</v>
      </c>
    </row>
    <row r="134" spans="1:9" ht="15.75" outlineLevel="1" thickBot="1" x14ac:dyDescent="0.3">
      <c r="A134" s="7" t="s">
        <v>6</v>
      </c>
      <c r="B134" s="7"/>
      <c r="C134" s="3">
        <f>SUM(C131:C133)</f>
        <v>130472091.51645136</v>
      </c>
      <c r="D134" s="3">
        <f t="shared" ref="D134:H134" si="28">SUM(D131:D133)</f>
        <v>128309737.47692519</v>
      </c>
      <c r="E134" s="3">
        <f t="shared" si="28"/>
        <v>132867690.96896891</v>
      </c>
      <c r="F134" s="3">
        <f t="shared" si="28"/>
        <v>136692045.22641408</v>
      </c>
      <c r="G134" s="3">
        <f t="shared" si="28"/>
        <v>139425886.13094234</v>
      </c>
      <c r="H134" s="3">
        <f t="shared" si="28"/>
        <v>134749239.24588126</v>
      </c>
      <c r="I134" s="69"/>
    </row>
    <row r="135" spans="1:9" ht="15.75" outlineLevel="1" thickTop="1" x14ac:dyDescent="0.25">
      <c r="A135" s="2" t="s">
        <v>7</v>
      </c>
      <c r="B135" s="7"/>
      <c r="C135" s="6">
        <f t="shared" ref="C135:H135" si="29">B134*C48</f>
        <v>0</v>
      </c>
      <c r="D135" s="6">
        <f t="shared" si="29"/>
        <v>6523604.5758225685</v>
      </c>
      <c r="E135" s="6">
        <f t="shared" si="29"/>
        <v>12830973.74769252</v>
      </c>
      <c r="F135" s="6">
        <f t="shared" si="29"/>
        <v>19930153.645345338</v>
      </c>
      <c r="G135" s="6">
        <f t="shared" si="29"/>
        <v>27338409.045282818</v>
      </c>
      <c r="H135" s="6">
        <f t="shared" si="29"/>
        <v>34856471.532735586</v>
      </c>
    </row>
    <row r="136" spans="1:9" x14ac:dyDescent="0.25">
      <c r="D136" s="6"/>
      <c r="E136" s="6"/>
      <c r="F136" s="6"/>
      <c r="G136" s="6"/>
      <c r="H136" s="6"/>
    </row>
    <row r="137" spans="1:9" x14ac:dyDescent="0.25">
      <c r="A137" s="22" t="s">
        <v>0</v>
      </c>
      <c r="D137" s="6"/>
      <c r="E137" s="6"/>
      <c r="F137" s="6"/>
      <c r="G137" s="6"/>
      <c r="H137" s="6"/>
    </row>
    <row r="138" spans="1:9" x14ac:dyDescent="0.25">
      <c r="A138" s="22" t="s">
        <v>8</v>
      </c>
      <c r="D138" s="6"/>
      <c r="E138" s="6"/>
      <c r="F138" s="6"/>
      <c r="G138" s="6"/>
      <c r="H138" s="6"/>
    </row>
    <row r="139" spans="1:9" x14ac:dyDescent="0.25">
      <c r="A139" s="22" t="s">
        <v>228</v>
      </c>
      <c r="D139" s="6"/>
      <c r="E139" s="6"/>
      <c r="F139" s="6"/>
      <c r="G139" s="6"/>
      <c r="H139" s="6"/>
    </row>
    <row r="140" spans="1:9" x14ac:dyDescent="0.25">
      <c r="A140" s="5"/>
      <c r="B140" s="13">
        <v>2021</v>
      </c>
      <c r="C140" s="13">
        <v>2022</v>
      </c>
      <c r="D140" s="19">
        <v>2023</v>
      </c>
      <c r="E140" s="19">
        <v>2024</v>
      </c>
      <c r="F140" s="19">
        <v>2025</v>
      </c>
      <c r="G140" s="19">
        <v>2026</v>
      </c>
      <c r="H140" s="19">
        <v>2027</v>
      </c>
    </row>
    <row r="141" spans="1:9" outlineLevel="1" x14ac:dyDescent="0.25">
      <c r="A141" s="7" t="s">
        <v>9</v>
      </c>
      <c r="B141" s="7"/>
      <c r="C141" s="7"/>
      <c r="D141" s="8"/>
      <c r="E141" s="8"/>
      <c r="F141" s="6"/>
      <c r="G141" s="6"/>
      <c r="H141" s="6"/>
    </row>
    <row r="142" spans="1:9" outlineLevel="1" x14ac:dyDescent="0.25">
      <c r="A142" s="2" t="s">
        <v>10</v>
      </c>
      <c r="D142" s="6"/>
      <c r="E142" s="6"/>
      <c r="F142" s="6"/>
      <c r="G142" s="6"/>
      <c r="H142" s="6"/>
    </row>
    <row r="143" spans="1:9" outlineLevel="1" x14ac:dyDescent="0.25">
      <c r="A143" s="2" t="s">
        <v>11</v>
      </c>
      <c r="B143" s="2">
        <f>+'Info Base'!F17*3</f>
        <v>96170399.524995089</v>
      </c>
      <c r="C143" s="2">
        <f>C228</f>
        <v>-93084205.136298656</v>
      </c>
      <c r="D143" s="2">
        <f>D228</f>
        <v>18971358.450586781</v>
      </c>
      <c r="E143" s="2">
        <f t="shared" ref="E143:H143" si="30">E228</f>
        <v>137216591.98962927</v>
      </c>
      <c r="F143" s="2">
        <f t="shared" si="30"/>
        <v>246506026.5116888</v>
      </c>
      <c r="G143" s="2">
        <f t="shared" si="30"/>
        <v>387368575.74420464</v>
      </c>
      <c r="H143" s="2">
        <f t="shared" si="30"/>
        <v>355181052.66725582</v>
      </c>
    </row>
    <row r="144" spans="1:9" outlineLevel="1" x14ac:dyDescent="0.25">
      <c r="A144" s="10" t="s">
        <v>12</v>
      </c>
      <c r="B144" s="2">
        <v>0</v>
      </c>
      <c r="C144" s="2">
        <v>0</v>
      </c>
      <c r="D144" s="14">
        <v>0</v>
      </c>
      <c r="E144" s="14">
        <v>0</v>
      </c>
      <c r="F144" s="14">
        <v>0</v>
      </c>
      <c r="G144" s="14">
        <v>0</v>
      </c>
      <c r="H144" s="14">
        <v>0</v>
      </c>
    </row>
    <row r="145" spans="1:20" outlineLevel="1" x14ac:dyDescent="0.25">
      <c r="A145" s="2" t="s">
        <v>13</v>
      </c>
      <c r="B145" s="2">
        <v>0</v>
      </c>
      <c r="C145" s="6">
        <f t="shared" ref="C145:H145" si="31">C121/365*C26</f>
        <v>149358904.10958904</v>
      </c>
      <c r="D145" s="6">
        <f t="shared" si="31"/>
        <v>150844191.78082192</v>
      </c>
      <c r="E145" s="6">
        <f t="shared" si="31"/>
        <v>147058707.35342464</v>
      </c>
      <c r="F145" s="6">
        <f t="shared" si="31"/>
        <v>166793168.87802738</v>
      </c>
      <c r="G145" s="6">
        <f t="shared" si="31"/>
        <v>155233610.90709043</v>
      </c>
      <c r="H145" s="6">
        <f t="shared" si="31"/>
        <v>165014211.1041441</v>
      </c>
    </row>
    <row r="146" spans="1:20" outlineLevel="1" x14ac:dyDescent="0.25">
      <c r="A146" s="2" t="s">
        <v>14</v>
      </c>
      <c r="B146" s="2">
        <v>0</v>
      </c>
      <c r="C146" s="6">
        <f t="shared" ref="C146:H146" si="32">-C122/365*C27</f>
        <v>55503780.82191781</v>
      </c>
      <c r="D146" s="6">
        <f t="shared" si="32"/>
        <v>56059755.024657533</v>
      </c>
      <c r="E146" s="6">
        <f t="shared" si="32"/>
        <v>53030226.907726027</v>
      </c>
      <c r="F146" s="6">
        <f t="shared" si="32"/>
        <v>58903339.879410416</v>
      </c>
      <c r="G146" s="6">
        <f t="shared" si="32"/>
        <v>58285856.679166161</v>
      </c>
      <c r="H146" s="6">
        <f t="shared" si="32"/>
        <v>56731701.870545588</v>
      </c>
    </row>
    <row r="147" spans="1:20" outlineLevel="1" x14ac:dyDescent="0.25">
      <c r="A147" s="2" t="s">
        <v>15</v>
      </c>
      <c r="B147" s="5">
        <v>0</v>
      </c>
      <c r="C147" s="9">
        <f>B147</f>
        <v>0</v>
      </c>
      <c r="D147" s="9">
        <f>C147</f>
        <v>0</v>
      </c>
      <c r="E147" s="9">
        <f t="shared" ref="E147:H147" si="33">D147</f>
        <v>0</v>
      </c>
      <c r="F147" s="9">
        <f t="shared" si="33"/>
        <v>0</v>
      </c>
      <c r="G147" s="9">
        <f t="shared" si="33"/>
        <v>0</v>
      </c>
      <c r="H147" s="9">
        <f t="shared" si="33"/>
        <v>0</v>
      </c>
    </row>
    <row r="148" spans="1:20" outlineLevel="1" x14ac:dyDescent="0.25">
      <c r="A148" s="2" t="s">
        <v>16</v>
      </c>
      <c r="B148" s="2">
        <f>SUM(B143:B147)</f>
        <v>96170399.524995089</v>
      </c>
      <c r="C148" s="2">
        <f>SUM(C143:C147)</f>
        <v>111778479.79520819</v>
      </c>
      <c r="D148" s="2">
        <f t="shared" ref="D148:H148" si="34">SUM(D143:D147)</f>
        <v>225875305.25606626</v>
      </c>
      <c r="E148" s="2">
        <f t="shared" si="34"/>
        <v>337305526.25077999</v>
      </c>
      <c r="F148" s="2">
        <f t="shared" si="34"/>
        <v>472202535.26912653</v>
      </c>
      <c r="G148" s="2">
        <f t="shared" si="34"/>
        <v>600888043.33046126</v>
      </c>
      <c r="H148" s="2">
        <f t="shared" si="34"/>
        <v>576926965.64194548</v>
      </c>
    </row>
    <row r="149" spans="1:20" outlineLevel="1" x14ac:dyDescent="0.25">
      <c r="D149" s="6"/>
      <c r="E149" s="6"/>
      <c r="F149" s="6"/>
      <c r="G149" s="6"/>
      <c r="H149" s="6"/>
    </row>
    <row r="150" spans="1:20" outlineLevel="1" x14ac:dyDescent="0.25">
      <c r="A150" s="2" t="s">
        <v>17</v>
      </c>
      <c r="D150" s="6"/>
      <c r="E150" s="6"/>
      <c r="F150" s="6"/>
      <c r="G150" s="6"/>
      <c r="H150" s="6"/>
    </row>
    <row r="151" spans="1:20" outlineLevel="1" x14ac:dyDescent="0.25">
      <c r="A151" s="2" t="s">
        <v>18</v>
      </c>
      <c r="B151" s="42">
        <v>64000000</v>
      </c>
      <c r="C151" s="186">
        <f>+B151*(1+C35)+100000000</f>
        <v>170828800</v>
      </c>
      <c r="D151" s="186">
        <f t="shared" ref="D151:G151" si="35">+C151*(1+D35)</f>
        <v>174245376</v>
      </c>
      <c r="E151" s="186">
        <f>+D151*(1+E35)</f>
        <v>177730283.52000001</v>
      </c>
      <c r="F151" s="186">
        <f t="shared" si="35"/>
        <v>181284889.1904</v>
      </c>
      <c r="G151" s="186">
        <f t="shared" si="35"/>
        <v>184910586.974208</v>
      </c>
      <c r="H151" s="150">
        <f>+G151*(1+H35)+150000000</f>
        <v>338608798.71369219</v>
      </c>
      <c r="I151" s="69"/>
      <c r="J151" s="1"/>
      <c r="K151" s="1"/>
      <c r="L151" s="1"/>
      <c r="M151" s="1"/>
      <c r="N151" s="1"/>
      <c r="O151" s="1"/>
      <c r="P151" s="1"/>
      <c r="Q151" s="1"/>
      <c r="R151" s="1"/>
      <c r="S151" s="1"/>
      <c r="T151" s="1"/>
    </row>
    <row r="152" spans="1:20" outlineLevel="1" x14ac:dyDescent="0.25">
      <c r="A152" s="2" t="s">
        <v>19</v>
      </c>
      <c r="B152" s="9">
        <v>0</v>
      </c>
      <c r="C152" s="9">
        <f>-C151*C36+B152</f>
        <v>-15716249.6</v>
      </c>
      <c r="D152" s="9">
        <f t="shared" ref="D152:H152" si="36">-D151*D36+C152</f>
        <v>-31746824.192000002</v>
      </c>
      <c r="E152" s="9">
        <f t="shared" si="36"/>
        <v>-48098010.275839999</v>
      </c>
      <c r="F152" s="9">
        <f t="shared" si="36"/>
        <v>-64776220.081356801</v>
      </c>
      <c r="G152" s="9">
        <f t="shared" si="36"/>
        <v>-81787994.082983941</v>
      </c>
      <c r="H152" s="9">
        <f t="shared" si="36"/>
        <v>-112940003.56464362</v>
      </c>
      <c r="I152" s="9"/>
      <c r="J152" s="9"/>
      <c r="K152" s="9"/>
      <c r="L152" s="9"/>
      <c r="M152" s="9"/>
      <c r="N152" s="9"/>
      <c r="O152" s="9"/>
    </row>
    <row r="153" spans="1:20" outlineLevel="1" x14ac:dyDescent="0.25">
      <c r="A153" s="2" t="s">
        <v>20</v>
      </c>
      <c r="B153" s="2">
        <f>SUM(B151:B152)</f>
        <v>64000000</v>
      </c>
      <c r="C153" s="2">
        <f>SUM(C151:C152)</f>
        <v>155112550.40000001</v>
      </c>
      <c r="D153" s="2">
        <f>SUM(D151:D152)</f>
        <v>142498551.808</v>
      </c>
      <c r="E153" s="2">
        <f t="shared" ref="E153:H153" si="37">SUM(E151:E152)</f>
        <v>129632273.24416001</v>
      </c>
      <c r="F153" s="2">
        <f t="shared" si="37"/>
        <v>116508669.10904321</v>
      </c>
      <c r="G153" s="2">
        <f t="shared" si="37"/>
        <v>103122592.89122406</v>
      </c>
      <c r="H153" s="2">
        <f t="shared" si="37"/>
        <v>225668795.14904857</v>
      </c>
      <c r="K153" s="38"/>
    </row>
    <row r="154" spans="1:20" outlineLevel="1" x14ac:dyDescent="0.25">
      <c r="D154" s="6"/>
      <c r="E154" s="6"/>
      <c r="F154" s="6"/>
      <c r="G154" s="6"/>
      <c r="H154" s="6"/>
      <c r="J154" s="90"/>
      <c r="K154" s="38"/>
    </row>
    <row r="155" spans="1:20" outlineLevel="1" x14ac:dyDescent="0.25">
      <c r="A155" s="2" t="s">
        <v>21</v>
      </c>
      <c r="B155" s="5">
        <v>0</v>
      </c>
      <c r="C155" s="5">
        <v>0</v>
      </c>
      <c r="D155" s="9">
        <f>C155</f>
        <v>0</v>
      </c>
      <c r="E155" s="9">
        <f t="shared" ref="E155:H155" si="38">D155</f>
        <v>0</v>
      </c>
      <c r="F155" s="9">
        <f t="shared" si="38"/>
        <v>0</v>
      </c>
      <c r="G155" s="9">
        <f t="shared" si="38"/>
        <v>0</v>
      </c>
      <c r="H155" s="9">
        <f t="shared" si="38"/>
        <v>0</v>
      </c>
      <c r="J155" s="90"/>
    </row>
    <row r="156" spans="1:20" outlineLevel="1" x14ac:dyDescent="0.25">
      <c r="A156" s="2" t="s">
        <v>22</v>
      </c>
      <c r="B156" s="2">
        <f>SUM(B153:B155)</f>
        <v>64000000</v>
      </c>
      <c r="C156" s="2">
        <f>SUM(C153:C155)</f>
        <v>155112550.40000001</v>
      </c>
      <c r="D156" s="2">
        <f t="shared" ref="D156:H156" si="39">SUM(D153:D155)</f>
        <v>142498551.808</v>
      </c>
      <c r="E156" s="2">
        <f t="shared" si="39"/>
        <v>129632273.24416001</v>
      </c>
      <c r="F156" s="2">
        <f t="shared" si="39"/>
        <v>116508669.10904321</v>
      </c>
      <c r="G156" s="2">
        <f t="shared" si="39"/>
        <v>103122592.89122406</v>
      </c>
      <c r="H156" s="2">
        <f t="shared" si="39"/>
        <v>225668795.14904857</v>
      </c>
      <c r="J156" s="90"/>
    </row>
    <row r="157" spans="1:20" outlineLevel="1" x14ac:dyDescent="0.25">
      <c r="D157" s="9"/>
      <c r="E157" s="9"/>
      <c r="F157" s="9"/>
      <c r="G157" s="9"/>
      <c r="H157" s="9"/>
    </row>
    <row r="158" spans="1:20" ht="15.75" outlineLevel="1" thickBot="1" x14ac:dyDescent="0.3">
      <c r="A158" s="7" t="s">
        <v>23</v>
      </c>
      <c r="B158" s="3">
        <f>B148+B156</f>
        <v>160170399.52499509</v>
      </c>
      <c r="C158" s="3">
        <f>C148+C156</f>
        <v>266891030.19520819</v>
      </c>
      <c r="D158" s="3">
        <f t="shared" ref="D158:H158" si="40">D148+D156</f>
        <v>368373857.06406629</v>
      </c>
      <c r="E158" s="3">
        <f t="shared" si="40"/>
        <v>466937799.49493998</v>
      </c>
      <c r="F158" s="3">
        <f t="shared" si="40"/>
        <v>588711204.37816978</v>
      </c>
      <c r="G158" s="3">
        <f t="shared" si="40"/>
        <v>704010636.22168529</v>
      </c>
      <c r="H158" s="3">
        <f t="shared" si="40"/>
        <v>802595760.79099405</v>
      </c>
    </row>
    <row r="159" spans="1:20" ht="15.75" outlineLevel="1" thickTop="1" x14ac:dyDescent="0.25">
      <c r="D159" s="6"/>
      <c r="E159" s="6"/>
      <c r="F159" s="6"/>
      <c r="G159" s="6"/>
      <c r="H159" s="6"/>
    </row>
    <row r="160" spans="1:20" outlineLevel="1" x14ac:dyDescent="0.25">
      <c r="A160" s="7" t="s">
        <v>24</v>
      </c>
      <c r="D160" s="6"/>
      <c r="E160" s="6"/>
      <c r="F160" s="6"/>
      <c r="G160" s="6"/>
      <c r="H160" s="6"/>
    </row>
    <row r="161" spans="1:8" outlineLevel="1" x14ac:dyDescent="0.25">
      <c r="A161" s="2" t="s">
        <v>25</v>
      </c>
      <c r="D161" s="6"/>
      <c r="E161" s="6"/>
      <c r="F161" s="6"/>
      <c r="G161" s="6"/>
      <c r="H161" s="6"/>
    </row>
    <row r="162" spans="1:8" outlineLevel="1" x14ac:dyDescent="0.25">
      <c r="A162" s="10" t="s">
        <v>26</v>
      </c>
      <c r="B162" s="2">
        <f>+'Info Base'!F17*3</f>
        <v>96170399.524995089</v>
      </c>
      <c r="C162" s="14">
        <v>0</v>
      </c>
      <c r="D162" s="14">
        <v>0</v>
      </c>
      <c r="E162" s="14">
        <v>0</v>
      </c>
      <c r="F162" s="14">
        <v>0</v>
      </c>
      <c r="G162" s="14">
        <v>0</v>
      </c>
      <c r="H162" s="14">
        <v>0</v>
      </c>
    </row>
    <row r="163" spans="1:8" outlineLevel="1" x14ac:dyDescent="0.25">
      <c r="A163" s="2" t="s">
        <v>27</v>
      </c>
      <c r="B163" s="6"/>
      <c r="C163" s="6">
        <f t="shared" ref="C163:H163" si="41">-C122/365*C28</f>
        <v>57365753.424657531</v>
      </c>
      <c r="D163" s="6">
        <f t="shared" si="41"/>
        <v>57937616.202739723</v>
      </c>
      <c r="E163" s="6">
        <f t="shared" si="41"/>
        <v>59966325.856109589</v>
      </c>
      <c r="F163" s="6">
        <f t="shared" si="41"/>
        <v>64284308.518270694</v>
      </c>
      <c r="G163" s="6">
        <f t="shared" si="41"/>
        <v>66788862.02332668</v>
      </c>
      <c r="H163" s="6">
        <f t="shared" si="41"/>
        <v>64398894.962705813</v>
      </c>
    </row>
    <row r="164" spans="1:8" outlineLevel="1" x14ac:dyDescent="0.25">
      <c r="A164" s="2" t="s">
        <v>28</v>
      </c>
      <c r="B164" s="6">
        <v>0</v>
      </c>
      <c r="C164" s="6">
        <v>0</v>
      </c>
      <c r="D164" s="6">
        <v>0</v>
      </c>
      <c r="E164" s="6">
        <v>0</v>
      </c>
      <c r="F164" s="6">
        <v>0</v>
      </c>
      <c r="G164" s="6">
        <v>0</v>
      </c>
      <c r="H164" s="6">
        <v>0</v>
      </c>
    </row>
    <row r="165" spans="1:8" outlineLevel="1" x14ac:dyDescent="0.25">
      <c r="A165" s="2" t="s">
        <v>29</v>
      </c>
      <c r="B165" s="9">
        <f t="shared" ref="B165:H165" si="42">-B125*B37</f>
        <v>0</v>
      </c>
      <c r="C165" s="9">
        <f t="shared" si="42"/>
        <v>33660000</v>
      </c>
      <c r="D165" s="9">
        <f t="shared" si="42"/>
        <v>33996600</v>
      </c>
      <c r="E165" s="9">
        <f t="shared" si="42"/>
        <v>34676532.000000007</v>
      </c>
      <c r="F165" s="9">
        <f t="shared" si="42"/>
        <v>35370062.640000008</v>
      </c>
      <c r="G165" s="9">
        <f t="shared" si="42"/>
        <v>36077463.892800003</v>
      </c>
      <c r="H165" s="9">
        <f t="shared" si="42"/>
        <v>37159787.809584007</v>
      </c>
    </row>
    <row r="166" spans="1:8" outlineLevel="1" x14ac:dyDescent="0.25">
      <c r="A166" s="2" t="s">
        <v>30</v>
      </c>
      <c r="B166" s="2">
        <f>SUM(B162:B165)</f>
        <v>96170399.524995089</v>
      </c>
      <c r="C166" s="2">
        <f t="shared" ref="C166:H166" si="43">SUM(C162:C165)</f>
        <v>91025753.424657524</v>
      </c>
      <c r="D166" s="2">
        <f t="shared" si="43"/>
        <v>91934216.202739716</v>
      </c>
      <c r="E166" s="2">
        <f t="shared" si="43"/>
        <v>94642857.856109589</v>
      </c>
      <c r="F166" s="2">
        <f t="shared" si="43"/>
        <v>99654371.158270702</v>
      </c>
      <c r="G166" s="2">
        <f t="shared" si="43"/>
        <v>102866325.91612668</v>
      </c>
      <c r="H166" s="2">
        <f t="shared" si="43"/>
        <v>101558682.77228981</v>
      </c>
    </row>
    <row r="167" spans="1:8" outlineLevel="1" x14ac:dyDescent="0.25">
      <c r="D167" s="6"/>
      <c r="E167" s="6"/>
      <c r="F167" s="6"/>
      <c r="G167" s="6"/>
      <c r="H167" s="6"/>
    </row>
    <row r="168" spans="1:8" outlineLevel="1" x14ac:dyDescent="0.25">
      <c r="A168" s="2" t="s">
        <v>31</v>
      </c>
      <c r="D168" s="6"/>
      <c r="E168" s="6"/>
      <c r="F168" s="6"/>
      <c r="G168" s="6"/>
      <c r="H168" s="6"/>
    </row>
    <row r="169" spans="1:8" outlineLevel="1" x14ac:dyDescent="0.25">
      <c r="A169" s="2" t="s">
        <v>32</v>
      </c>
      <c r="B169" s="6">
        <v>0</v>
      </c>
      <c r="C169" s="6">
        <v>0</v>
      </c>
      <c r="D169" s="6">
        <v>0</v>
      </c>
      <c r="E169" s="6">
        <v>0</v>
      </c>
      <c r="F169" s="6">
        <v>0</v>
      </c>
      <c r="G169" s="6">
        <v>0</v>
      </c>
      <c r="H169" s="6">
        <v>0</v>
      </c>
    </row>
    <row r="170" spans="1:8" outlineLevel="1" x14ac:dyDescent="0.25">
      <c r="A170" s="2" t="s">
        <v>33</v>
      </c>
      <c r="B170" s="2">
        <v>64000000</v>
      </c>
      <c r="C170" s="14">
        <f>+Préstamo!F26</f>
        <v>45393185.254099309</v>
      </c>
      <c r="D170" s="14">
        <f>+Préstamo!F38</f>
        <v>24181416.443772532</v>
      </c>
      <c r="E170" s="14">
        <v>0</v>
      </c>
      <c r="F170" s="14"/>
      <c r="G170" s="9"/>
      <c r="H170" s="9"/>
    </row>
    <row r="171" spans="1:8" outlineLevel="1" x14ac:dyDescent="0.25">
      <c r="A171" s="2" t="s">
        <v>34</v>
      </c>
      <c r="B171" s="64">
        <f>SUM(B169:B170)</f>
        <v>64000000</v>
      </c>
      <c r="C171" s="64">
        <f>SUM(C169:C170)</f>
        <v>45393185.254099309</v>
      </c>
      <c r="D171" s="64">
        <f t="shared" ref="D171:H171" si="44">SUM(D169:D170)</f>
        <v>24181416.443772532</v>
      </c>
      <c r="E171" s="64">
        <f>SUM(E169:E170)</f>
        <v>0</v>
      </c>
      <c r="F171" s="64">
        <f t="shared" si="44"/>
        <v>0</v>
      </c>
      <c r="G171" s="2">
        <f t="shared" si="44"/>
        <v>0</v>
      </c>
      <c r="H171" s="2">
        <f t="shared" si="44"/>
        <v>0</v>
      </c>
    </row>
    <row r="172" spans="1:8" outlineLevel="1" x14ac:dyDescent="0.25">
      <c r="D172" s="6"/>
      <c r="E172" s="6"/>
      <c r="F172" s="6"/>
      <c r="G172" s="6"/>
      <c r="H172" s="6"/>
    </row>
    <row r="173" spans="1:8" outlineLevel="1" x14ac:dyDescent="0.25">
      <c r="A173" s="7" t="s">
        <v>35</v>
      </c>
      <c r="B173" s="4">
        <f>B166+B171</f>
        <v>160170399.52499509</v>
      </c>
      <c r="C173" s="4">
        <f>C166+C171</f>
        <v>136418938.67875683</v>
      </c>
      <c r="D173" s="4">
        <f t="shared" ref="D173:H173" si="45">D166+D171</f>
        <v>116115632.64651224</v>
      </c>
      <c r="E173" s="4">
        <f t="shared" si="45"/>
        <v>94642857.856109589</v>
      </c>
      <c r="F173" s="4">
        <f t="shared" si="45"/>
        <v>99654371.158270702</v>
      </c>
      <c r="G173" s="4">
        <f t="shared" si="45"/>
        <v>102866325.91612668</v>
      </c>
      <c r="H173" s="4">
        <f t="shared" si="45"/>
        <v>101558682.77228981</v>
      </c>
    </row>
    <row r="174" spans="1:8" outlineLevel="1" x14ac:dyDescent="0.25">
      <c r="D174" s="6"/>
      <c r="E174" s="6"/>
      <c r="F174" s="6"/>
      <c r="G174" s="6"/>
      <c r="H174" s="6"/>
    </row>
    <row r="175" spans="1:8" outlineLevel="1" x14ac:dyDescent="0.25">
      <c r="A175" s="7" t="s">
        <v>36</v>
      </c>
      <c r="D175" s="6"/>
      <c r="E175" s="6"/>
      <c r="F175" s="6"/>
      <c r="G175" s="6"/>
      <c r="H175" s="6"/>
    </row>
    <row r="176" spans="1:8" outlineLevel="1" x14ac:dyDescent="0.25">
      <c r="A176" s="2" t="s">
        <v>37</v>
      </c>
      <c r="B176" s="2">
        <v>0</v>
      </c>
      <c r="C176" s="2">
        <v>0</v>
      </c>
      <c r="D176" s="6">
        <f>C176</f>
        <v>0</v>
      </c>
      <c r="E176" s="6">
        <f t="shared" ref="E176:H176" si="46">D176</f>
        <v>0</v>
      </c>
      <c r="F176" s="6">
        <f t="shared" si="46"/>
        <v>0</v>
      </c>
      <c r="G176" s="6">
        <f t="shared" si="46"/>
        <v>0</v>
      </c>
      <c r="H176" s="6">
        <f t="shared" si="46"/>
        <v>0</v>
      </c>
    </row>
    <row r="177" spans="1:8" outlineLevel="1" x14ac:dyDescent="0.25">
      <c r="A177" s="2" t="s">
        <v>38</v>
      </c>
      <c r="B177" s="2">
        <v>0</v>
      </c>
      <c r="C177" s="2">
        <f t="shared" ref="C177:H177" si="47">B177+C134-C135</f>
        <v>130472091.51645136</v>
      </c>
      <c r="D177" s="2">
        <f t="shared" si="47"/>
        <v>252258224.41755399</v>
      </c>
      <c r="E177" s="2">
        <f t="shared" si="47"/>
        <v>372294941.63883036</v>
      </c>
      <c r="F177" s="2">
        <f t="shared" si="47"/>
        <v>489056833.21989912</v>
      </c>
      <c r="G177" s="2">
        <f t="shared" si="47"/>
        <v>601144310.30555868</v>
      </c>
      <c r="H177" s="2">
        <f t="shared" si="47"/>
        <v>701037078.01870441</v>
      </c>
    </row>
    <row r="178" spans="1:8" outlineLevel="1" x14ac:dyDescent="0.25">
      <c r="B178" s="5"/>
      <c r="C178" s="5"/>
      <c r="D178" s="9">
        <f>C178</f>
        <v>0</v>
      </c>
      <c r="E178" s="9">
        <f t="shared" ref="E178:H178" si="48">D178</f>
        <v>0</v>
      </c>
      <c r="F178" s="9">
        <f t="shared" si="48"/>
        <v>0</v>
      </c>
      <c r="G178" s="9">
        <f t="shared" si="48"/>
        <v>0</v>
      </c>
      <c r="H178" s="9">
        <f t="shared" si="48"/>
        <v>0</v>
      </c>
    </row>
    <row r="179" spans="1:8" outlineLevel="1" x14ac:dyDescent="0.25">
      <c r="A179" s="7" t="s">
        <v>39</v>
      </c>
      <c r="B179" s="7">
        <f t="shared" ref="B179:H179" si="49">SUM(B176:B178)</f>
        <v>0</v>
      </c>
      <c r="C179" s="7">
        <f t="shared" si="49"/>
        <v>130472091.51645136</v>
      </c>
      <c r="D179" s="7">
        <f t="shared" si="49"/>
        <v>252258224.41755399</v>
      </c>
      <c r="E179" s="7">
        <f t="shared" si="49"/>
        <v>372294941.63883036</v>
      </c>
      <c r="F179" s="7">
        <f t="shared" si="49"/>
        <v>489056833.21989912</v>
      </c>
      <c r="G179" s="7">
        <f t="shared" si="49"/>
        <v>601144310.30555868</v>
      </c>
      <c r="H179" s="7">
        <f t="shared" si="49"/>
        <v>701037078.01870441</v>
      </c>
    </row>
    <row r="180" spans="1:8" outlineLevel="1" x14ac:dyDescent="0.25">
      <c r="D180" s="6"/>
      <c r="E180" s="6"/>
      <c r="F180" s="6"/>
      <c r="G180" s="6"/>
      <c r="H180" s="6"/>
    </row>
    <row r="181" spans="1:8" ht="15.75" outlineLevel="1" thickBot="1" x14ac:dyDescent="0.3">
      <c r="A181" s="7" t="s">
        <v>40</v>
      </c>
      <c r="B181" s="3">
        <f t="shared" ref="B181:H181" si="50">B173+B179</f>
        <v>160170399.52499509</v>
      </c>
      <c r="C181" s="3">
        <f t="shared" si="50"/>
        <v>266891030.19520819</v>
      </c>
      <c r="D181" s="3">
        <f t="shared" si="50"/>
        <v>368373857.06406623</v>
      </c>
      <c r="E181" s="3">
        <f t="shared" si="50"/>
        <v>466937799.49493992</v>
      </c>
      <c r="F181" s="3">
        <f t="shared" si="50"/>
        <v>588711204.37816978</v>
      </c>
      <c r="G181" s="3">
        <f t="shared" si="50"/>
        <v>704010636.22168541</v>
      </c>
      <c r="H181" s="3">
        <f t="shared" si="50"/>
        <v>802595760.79099417</v>
      </c>
    </row>
    <row r="182" spans="1:8" ht="15.75" outlineLevel="1" thickTop="1" x14ac:dyDescent="0.25">
      <c r="D182" s="6"/>
      <c r="E182" s="6"/>
      <c r="F182" s="6"/>
      <c r="G182" s="6"/>
      <c r="H182" s="6"/>
    </row>
    <row r="183" spans="1:8" outlineLevel="1" x14ac:dyDescent="0.25">
      <c r="A183" s="16" t="s">
        <v>41</v>
      </c>
      <c r="B183" s="17">
        <f t="shared" ref="B183:H183" si="51">B181-B158</f>
        <v>0</v>
      </c>
      <c r="C183" s="17">
        <f t="shared" si="51"/>
        <v>0</v>
      </c>
      <c r="D183" s="17">
        <f t="shared" si="51"/>
        <v>0</v>
      </c>
      <c r="E183" s="17">
        <f t="shared" si="51"/>
        <v>0</v>
      </c>
      <c r="F183" s="17">
        <f t="shared" si="51"/>
        <v>0</v>
      </c>
      <c r="G183" s="17">
        <f t="shared" si="51"/>
        <v>0</v>
      </c>
      <c r="H183" s="17">
        <f t="shared" si="51"/>
        <v>0</v>
      </c>
    </row>
    <row r="184" spans="1:8" outlineLevel="1" x14ac:dyDescent="0.25">
      <c r="D184" s="6"/>
      <c r="E184" s="6"/>
      <c r="F184" s="6"/>
      <c r="G184" s="6"/>
      <c r="H184" s="6"/>
    </row>
    <row r="185" spans="1:8" x14ac:dyDescent="0.25">
      <c r="D185" s="6"/>
      <c r="E185" s="6"/>
      <c r="F185" s="6"/>
      <c r="G185" s="6"/>
      <c r="H185" s="6"/>
    </row>
    <row r="186" spans="1:8" x14ac:dyDescent="0.25">
      <c r="A186" s="22" t="s">
        <v>0</v>
      </c>
      <c r="D186" s="6"/>
      <c r="E186" s="6"/>
      <c r="F186" s="6"/>
      <c r="G186" s="6"/>
      <c r="H186" s="6"/>
    </row>
    <row r="187" spans="1:8" x14ac:dyDescent="0.25">
      <c r="A187" s="22" t="s">
        <v>160</v>
      </c>
      <c r="D187" s="6"/>
      <c r="E187" s="6"/>
      <c r="F187" s="6"/>
      <c r="G187" s="6"/>
      <c r="H187" s="6"/>
    </row>
    <row r="188" spans="1:8" x14ac:dyDescent="0.25">
      <c r="A188" s="22" t="s">
        <v>301</v>
      </c>
    </row>
    <row r="189" spans="1:8" x14ac:dyDescent="0.25">
      <c r="A189" s="123"/>
      <c r="B189" s="13"/>
      <c r="C189" s="13">
        <v>2022</v>
      </c>
      <c r="D189" s="19">
        <v>2023</v>
      </c>
      <c r="E189" s="19">
        <v>2024</v>
      </c>
      <c r="F189" s="19">
        <v>2025</v>
      </c>
      <c r="G189" s="19">
        <v>2026</v>
      </c>
      <c r="H189" s="19">
        <v>2027</v>
      </c>
    </row>
    <row r="190" spans="1:8" outlineLevel="1" x14ac:dyDescent="0.25">
      <c r="A190" s="18" t="s">
        <v>42</v>
      </c>
      <c r="D190" s="6"/>
      <c r="E190" s="6"/>
      <c r="F190" s="6"/>
      <c r="G190" s="6"/>
      <c r="H190" s="6"/>
    </row>
    <row r="191" spans="1:8" outlineLevel="1" x14ac:dyDescent="0.25">
      <c r="A191" s="11" t="s">
        <v>43</v>
      </c>
      <c r="C191" s="2">
        <f t="shared" ref="C191:H191" si="52">C127*(1-C47)</f>
        <v>135431872.02048001</v>
      </c>
      <c r="D191" s="2">
        <f t="shared" si="52"/>
        <v>131384126.5152</v>
      </c>
      <c r="E191" s="2">
        <f t="shared" si="52"/>
        <v>134011809.045504</v>
      </c>
      <c r="F191" s="2">
        <f t="shared" si="52"/>
        <v>136692045.22641408</v>
      </c>
      <c r="G191" s="2">
        <f t="shared" si="52"/>
        <v>139425886.13094234</v>
      </c>
      <c r="H191" s="2">
        <f t="shared" si="52"/>
        <v>134749239.24588123</v>
      </c>
    </row>
    <row r="192" spans="1:8" outlineLevel="1" x14ac:dyDescent="0.25">
      <c r="A192" s="2" t="s">
        <v>44</v>
      </c>
      <c r="C192" s="2">
        <f t="shared" ref="C192:H192" si="53">-C126</f>
        <v>15716249.6</v>
      </c>
      <c r="D192" s="2">
        <f t="shared" si="53"/>
        <v>16030574.592000002</v>
      </c>
      <c r="E192" s="2">
        <f t="shared" si="53"/>
        <v>16351186.083839998</v>
      </c>
      <c r="F192" s="2">
        <f t="shared" si="53"/>
        <v>16678209.805516802</v>
      </c>
      <c r="G192" s="2">
        <f t="shared" si="53"/>
        <v>17011774.00162714</v>
      </c>
      <c r="H192" s="2">
        <f t="shared" si="53"/>
        <v>31152009.481659681</v>
      </c>
    </row>
    <row r="193" spans="1:8" outlineLevel="1" x14ac:dyDescent="0.25">
      <c r="A193" s="2" t="s">
        <v>161</v>
      </c>
    </row>
    <row r="194" spans="1:8" outlineLevel="1" x14ac:dyDescent="0.25">
      <c r="A194" s="18" t="s">
        <v>45</v>
      </c>
    </row>
    <row r="195" spans="1:8" outlineLevel="1" x14ac:dyDescent="0.25">
      <c r="A195" s="2" t="s">
        <v>13</v>
      </c>
      <c r="C195" s="2">
        <f t="shared" ref="C195:H197" si="54">-(C145-B145)</f>
        <v>-149358904.10958904</v>
      </c>
      <c r="D195" s="2">
        <f t="shared" si="54"/>
        <v>-1485287.6712328792</v>
      </c>
      <c r="E195" s="2">
        <f t="shared" si="54"/>
        <v>3785484.4273972809</v>
      </c>
      <c r="F195" s="2">
        <f t="shared" si="54"/>
        <v>-19734461.524602741</v>
      </c>
      <c r="G195" s="2">
        <f t="shared" si="54"/>
        <v>11559557.970936954</v>
      </c>
      <c r="H195" s="2">
        <f t="shared" si="54"/>
        <v>-9780600.1970536709</v>
      </c>
    </row>
    <row r="196" spans="1:8" outlineLevel="1" x14ac:dyDescent="0.25">
      <c r="A196" s="2" t="s">
        <v>14</v>
      </c>
      <c r="C196" s="2">
        <f t="shared" si="54"/>
        <v>-55503780.82191781</v>
      </c>
      <c r="D196" s="2">
        <f t="shared" si="54"/>
        <v>-555974.20273972303</v>
      </c>
      <c r="E196" s="2">
        <f t="shared" si="54"/>
        <v>3029528.1169315055</v>
      </c>
      <c r="F196" s="2">
        <f t="shared" si="54"/>
        <v>-5873112.9716843888</v>
      </c>
      <c r="G196" s="2">
        <f t="shared" si="54"/>
        <v>617483.20024425536</v>
      </c>
      <c r="H196" s="2">
        <f t="shared" si="54"/>
        <v>1554154.8086205721</v>
      </c>
    </row>
    <row r="197" spans="1:8" outlineLevel="1" x14ac:dyDescent="0.25">
      <c r="A197" s="2" t="s">
        <v>15</v>
      </c>
      <c r="C197" s="2">
        <f t="shared" si="54"/>
        <v>0</v>
      </c>
      <c r="D197" s="2">
        <f t="shared" si="54"/>
        <v>0</v>
      </c>
      <c r="E197" s="2">
        <f t="shared" si="54"/>
        <v>0</v>
      </c>
      <c r="F197" s="2">
        <f t="shared" si="54"/>
        <v>0</v>
      </c>
      <c r="G197" s="2">
        <f t="shared" si="54"/>
        <v>0</v>
      </c>
      <c r="H197" s="2">
        <f t="shared" si="54"/>
        <v>0</v>
      </c>
    </row>
    <row r="198" spans="1:8" outlineLevel="1" x14ac:dyDescent="0.25">
      <c r="A198" s="18" t="s">
        <v>162</v>
      </c>
      <c r="D198" s="6"/>
      <c r="E198" s="6"/>
      <c r="F198" s="6"/>
      <c r="G198" s="6"/>
      <c r="H198" s="6"/>
    </row>
    <row r="199" spans="1:8" outlineLevel="1" x14ac:dyDescent="0.25">
      <c r="A199" s="2" t="s">
        <v>27</v>
      </c>
      <c r="C199" s="2">
        <f>C163-B163</f>
        <v>57365753.424657531</v>
      </c>
      <c r="D199" s="2">
        <f t="shared" ref="C199:H201" si="55">D163-C163</f>
        <v>571862.77808219194</v>
      </c>
      <c r="E199" s="2">
        <f t="shared" si="55"/>
        <v>2028709.6533698663</v>
      </c>
      <c r="F199" s="2">
        <f t="shared" si="55"/>
        <v>4317982.6621611044</v>
      </c>
      <c r="G199" s="2">
        <f t="shared" si="55"/>
        <v>2504553.5050559863</v>
      </c>
      <c r="H199" s="2">
        <f t="shared" si="55"/>
        <v>-2389967.0606208667</v>
      </c>
    </row>
    <row r="200" spans="1:8" outlineLevel="1" x14ac:dyDescent="0.25">
      <c r="A200" s="2" t="s">
        <v>28</v>
      </c>
      <c r="C200" s="2">
        <f t="shared" si="55"/>
        <v>0</v>
      </c>
      <c r="D200" s="2">
        <f t="shared" si="55"/>
        <v>0</v>
      </c>
      <c r="E200" s="2">
        <f t="shared" si="55"/>
        <v>0</v>
      </c>
      <c r="F200" s="2">
        <f t="shared" si="55"/>
        <v>0</v>
      </c>
      <c r="G200" s="2">
        <f t="shared" si="55"/>
        <v>0</v>
      </c>
      <c r="H200" s="2">
        <f t="shared" si="55"/>
        <v>0</v>
      </c>
    </row>
    <row r="201" spans="1:8" outlineLevel="1" x14ac:dyDescent="0.25">
      <c r="A201" s="2" t="s">
        <v>46</v>
      </c>
      <c r="C201" s="2">
        <f t="shared" si="55"/>
        <v>33660000</v>
      </c>
      <c r="D201" s="2">
        <f t="shared" si="55"/>
        <v>336600</v>
      </c>
      <c r="E201" s="2">
        <f t="shared" si="55"/>
        <v>679932.00000000745</v>
      </c>
      <c r="F201" s="2">
        <f t="shared" si="55"/>
        <v>693530.6400000006</v>
      </c>
      <c r="G201" s="2">
        <f t="shared" si="55"/>
        <v>707401.25279999524</v>
      </c>
      <c r="H201" s="2">
        <f t="shared" si="55"/>
        <v>1082323.9167840034</v>
      </c>
    </row>
    <row r="202" spans="1:8" outlineLevel="1" x14ac:dyDescent="0.25">
      <c r="A202" s="18" t="s">
        <v>163</v>
      </c>
    </row>
    <row r="203" spans="1:8" outlineLevel="1" x14ac:dyDescent="0.25">
      <c r="A203" s="2" t="s">
        <v>47</v>
      </c>
      <c r="C203" s="2">
        <f>C169-B169</f>
        <v>0</v>
      </c>
      <c r="D203" s="2">
        <f t="shared" ref="D203:H203" si="56">D169-C169</f>
        <v>0</v>
      </c>
      <c r="E203" s="2">
        <f t="shared" si="56"/>
        <v>0</v>
      </c>
      <c r="F203" s="2">
        <f t="shared" si="56"/>
        <v>0</v>
      </c>
      <c r="G203" s="2">
        <f t="shared" si="56"/>
        <v>0</v>
      </c>
      <c r="H203" s="2">
        <f t="shared" si="56"/>
        <v>0</v>
      </c>
    </row>
    <row r="204" spans="1:8" outlineLevel="1" x14ac:dyDescent="0.25">
      <c r="D204" s="6"/>
      <c r="E204" s="6"/>
      <c r="F204" s="6"/>
      <c r="G204" s="6"/>
      <c r="H204" s="6"/>
    </row>
    <row r="205" spans="1:8" outlineLevel="1" x14ac:dyDescent="0.25">
      <c r="A205" s="7" t="s">
        <v>48</v>
      </c>
      <c r="B205" s="7"/>
      <c r="C205" s="7">
        <f t="shared" ref="C205:H205" si="57">SUM(C191:C204)</f>
        <v>37311190.113630682</v>
      </c>
      <c r="D205" s="7">
        <f t="shared" si="57"/>
        <v>146281902.01130959</v>
      </c>
      <c r="E205" s="7">
        <f t="shared" si="57"/>
        <v>159886649.32704264</v>
      </c>
      <c r="F205" s="7">
        <f t="shared" si="57"/>
        <v>132774193.83780487</v>
      </c>
      <c r="G205" s="7">
        <f t="shared" si="57"/>
        <v>171826656.06160668</v>
      </c>
      <c r="H205" s="7">
        <f t="shared" si="57"/>
        <v>156367160.19527096</v>
      </c>
    </row>
    <row r="206" spans="1:8" outlineLevel="1" x14ac:dyDescent="0.25">
      <c r="D206" s="6"/>
      <c r="E206" s="6"/>
      <c r="F206" s="6"/>
      <c r="G206" s="6"/>
      <c r="H206" s="6"/>
    </row>
    <row r="207" spans="1:8" outlineLevel="1" x14ac:dyDescent="0.25">
      <c r="A207" s="18" t="s">
        <v>49</v>
      </c>
      <c r="D207" s="6"/>
      <c r="E207" s="6"/>
      <c r="F207" s="6"/>
      <c r="G207" s="6"/>
      <c r="H207" s="6"/>
    </row>
    <row r="208" spans="1:8" outlineLevel="1" x14ac:dyDescent="0.25">
      <c r="A208" s="10" t="s">
        <v>12</v>
      </c>
      <c r="B208" s="10"/>
      <c r="C208" s="10">
        <f t="shared" ref="C208:H208" si="58">-(C144-B144)</f>
        <v>0</v>
      </c>
      <c r="D208" s="10">
        <f t="shared" si="58"/>
        <v>0</v>
      </c>
      <c r="E208" s="10">
        <f t="shared" si="58"/>
        <v>0</v>
      </c>
      <c r="F208" s="10">
        <f t="shared" si="58"/>
        <v>0</v>
      </c>
      <c r="G208" s="10">
        <f t="shared" si="58"/>
        <v>0</v>
      </c>
      <c r="H208" s="10">
        <f t="shared" si="58"/>
        <v>0</v>
      </c>
    </row>
    <row r="209" spans="1:10" outlineLevel="1" x14ac:dyDescent="0.25">
      <c r="A209" s="20" t="s">
        <v>50</v>
      </c>
      <c r="B209" s="20"/>
      <c r="C209" s="20">
        <f t="shared" ref="C209:H209" si="59">C129*(1-C47)</f>
        <v>0</v>
      </c>
      <c r="D209" s="20">
        <f t="shared" si="59"/>
        <v>0</v>
      </c>
      <c r="E209" s="20">
        <f t="shared" si="59"/>
        <v>0</v>
      </c>
      <c r="F209" s="20">
        <f t="shared" si="59"/>
        <v>0</v>
      </c>
      <c r="G209" s="20">
        <f t="shared" si="59"/>
        <v>0</v>
      </c>
      <c r="H209" s="20">
        <f t="shared" si="59"/>
        <v>0</v>
      </c>
    </row>
    <row r="210" spans="1:10" outlineLevel="1" x14ac:dyDescent="0.25">
      <c r="A210" s="2" t="s">
        <v>51</v>
      </c>
      <c r="C210" s="2">
        <f>-(C151-B151)</f>
        <v>-106828800</v>
      </c>
      <c r="D210" s="2">
        <f t="shared" ref="D210:H210" si="60">-(D151-C151)</f>
        <v>-3416576</v>
      </c>
      <c r="E210" s="2">
        <f t="shared" si="60"/>
        <v>-3484907.5200000107</v>
      </c>
      <c r="F210" s="2">
        <f t="shared" si="60"/>
        <v>-3554605.6703999937</v>
      </c>
      <c r="G210" s="2">
        <f t="shared" si="60"/>
        <v>-3625697.7838079929</v>
      </c>
      <c r="H210" s="2">
        <f t="shared" si="60"/>
        <v>-153698211.73948419</v>
      </c>
    </row>
    <row r="211" spans="1:10" outlineLevel="1" x14ac:dyDescent="0.25">
      <c r="A211" s="2" t="s">
        <v>21</v>
      </c>
      <c r="B211" s="5"/>
      <c r="C211" s="5">
        <f t="shared" ref="C211:H211" si="61">-(C155-B155)</f>
        <v>0</v>
      </c>
      <c r="D211" s="5">
        <f t="shared" si="61"/>
        <v>0</v>
      </c>
      <c r="E211" s="5">
        <f t="shared" si="61"/>
        <v>0</v>
      </c>
      <c r="F211" s="5">
        <f t="shared" si="61"/>
        <v>0</v>
      </c>
      <c r="G211" s="5">
        <f t="shared" si="61"/>
        <v>0</v>
      </c>
      <c r="H211" s="5">
        <f t="shared" si="61"/>
        <v>0</v>
      </c>
    </row>
    <row r="212" spans="1:10" outlineLevel="1" x14ac:dyDescent="0.25">
      <c r="D212" s="6"/>
      <c r="E212" s="6"/>
      <c r="F212" s="6"/>
      <c r="G212" s="6"/>
      <c r="H212" s="6"/>
    </row>
    <row r="213" spans="1:10" outlineLevel="1" x14ac:dyDescent="0.25">
      <c r="A213" s="7" t="s">
        <v>52</v>
      </c>
      <c r="B213" s="7"/>
      <c r="C213" s="7">
        <f>SUM(C208:C212)</f>
        <v>-106828800</v>
      </c>
      <c r="D213" s="7">
        <f t="shared" ref="D213:H213" si="62">SUM(D208:D212)</f>
        <v>-3416576</v>
      </c>
      <c r="E213" s="7">
        <f t="shared" si="62"/>
        <v>-3484907.5200000107</v>
      </c>
      <c r="F213" s="7">
        <f t="shared" si="62"/>
        <v>-3554605.6703999937</v>
      </c>
      <c r="G213" s="7">
        <f t="shared" si="62"/>
        <v>-3625697.7838079929</v>
      </c>
      <c r="H213" s="7">
        <f t="shared" si="62"/>
        <v>-153698211.73948419</v>
      </c>
    </row>
    <row r="214" spans="1:10" outlineLevel="1" x14ac:dyDescent="0.25">
      <c r="D214" s="6"/>
      <c r="E214" s="6"/>
      <c r="F214" s="6"/>
      <c r="G214" s="6"/>
      <c r="H214" s="6"/>
    </row>
    <row r="215" spans="1:10" outlineLevel="1" x14ac:dyDescent="0.25">
      <c r="A215" s="18" t="s">
        <v>53</v>
      </c>
      <c r="D215" s="6"/>
      <c r="E215" s="6"/>
      <c r="F215" s="6"/>
      <c r="G215" s="6"/>
      <c r="H215" s="6"/>
    </row>
    <row r="216" spans="1:10" outlineLevel="1" x14ac:dyDescent="0.25">
      <c r="A216" s="10" t="s">
        <v>54</v>
      </c>
      <c r="C216" s="10">
        <f>C162-B162</f>
        <v>-96170399.524995089</v>
      </c>
      <c r="D216" s="10">
        <f t="shared" ref="D216:H216" si="63">D162-C162</f>
        <v>0</v>
      </c>
      <c r="E216" s="10">
        <f t="shared" si="63"/>
        <v>0</v>
      </c>
      <c r="F216" s="10">
        <f t="shared" si="63"/>
        <v>0</v>
      </c>
      <c r="G216" s="10">
        <f t="shared" si="63"/>
        <v>0</v>
      </c>
      <c r="H216" s="10">
        <f t="shared" si="63"/>
        <v>0</v>
      </c>
    </row>
    <row r="217" spans="1:10" outlineLevel="1" x14ac:dyDescent="0.25">
      <c r="A217" s="20" t="s">
        <v>55</v>
      </c>
      <c r="B217" s="20"/>
      <c r="C217" s="20">
        <f t="shared" ref="C217:H217" si="64">C130*(1-C47)</f>
        <v>-4959780.5040286463</v>
      </c>
      <c r="D217" s="20">
        <f t="shared" si="64"/>
        <v>-3074389.0382748102</v>
      </c>
      <c r="E217" s="20">
        <f t="shared" si="64"/>
        <v>-1144118.0765350896</v>
      </c>
      <c r="F217" s="20">
        <f t="shared" si="64"/>
        <v>0</v>
      </c>
      <c r="G217" s="20">
        <f t="shared" si="64"/>
        <v>0</v>
      </c>
      <c r="H217" s="20">
        <f t="shared" si="64"/>
        <v>0</v>
      </c>
    </row>
    <row r="218" spans="1:10" outlineLevel="1" x14ac:dyDescent="0.25">
      <c r="A218" s="2" t="s">
        <v>56</v>
      </c>
      <c r="C218" s="2">
        <f>C170-B170</f>
        <v>-18606814.745900691</v>
      </c>
      <c r="D218" s="2">
        <f>D170-C170</f>
        <v>-21211768.810326777</v>
      </c>
      <c r="E218" s="2">
        <f>E170-D170</f>
        <v>-24181416.443772532</v>
      </c>
      <c r="F218" s="2">
        <f>F170-E170</f>
        <v>0</v>
      </c>
      <c r="G218" s="2">
        <f t="shared" ref="G218:H218" si="65">G170-F170</f>
        <v>0</v>
      </c>
      <c r="H218" s="2">
        <f t="shared" si="65"/>
        <v>0</v>
      </c>
    </row>
    <row r="219" spans="1:10" s="20" customFormat="1" outlineLevel="1" x14ac:dyDescent="0.25">
      <c r="A219" s="2" t="s">
        <v>37</v>
      </c>
      <c r="B219" s="2"/>
      <c r="C219" s="2">
        <f t="shared" ref="C219:H219" si="66">C176-B176</f>
        <v>0</v>
      </c>
      <c r="D219" s="2">
        <f t="shared" si="66"/>
        <v>0</v>
      </c>
      <c r="E219" s="2">
        <f t="shared" si="66"/>
        <v>0</v>
      </c>
      <c r="F219" s="2">
        <f t="shared" si="66"/>
        <v>0</v>
      </c>
      <c r="G219" s="2">
        <f t="shared" si="66"/>
        <v>0</v>
      </c>
      <c r="H219" s="2">
        <f t="shared" si="66"/>
        <v>0</v>
      </c>
      <c r="J219" s="89"/>
    </row>
    <row r="220" spans="1:10" outlineLevel="1" x14ac:dyDescent="0.25">
      <c r="A220" s="2" t="s">
        <v>57</v>
      </c>
      <c r="B220" s="5"/>
      <c r="C220" s="5">
        <f t="shared" ref="C220:H220" si="67">-C135</f>
        <v>0</v>
      </c>
      <c r="D220" s="5">
        <f t="shared" si="67"/>
        <v>-6523604.5758225685</v>
      </c>
      <c r="E220" s="5">
        <f t="shared" si="67"/>
        <v>-12830973.74769252</v>
      </c>
      <c r="F220" s="5">
        <f t="shared" si="67"/>
        <v>-19930153.645345338</v>
      </c>
      <c r="G220" s="5">
        <f t="shared" si="67"/>
        <v>-27338409.045282818</v>
      </c>
      <c r="H220" s="5">
        <f t="shared" si="67"/>
        <v>-34856471.532735586</v>
      </c>
    </row>
    <row r="221" spans="1:10" outlineLevel="1" x14ac:dyDescent="0.25">
      <c r="D221" s="6"/>
      <c r="E221" s="6"/>
      <c r="F221" s="6"/>
      <c r="G221" s="6"/>
      <c r="H221" s="6"/>
    </row>
    <row r="222" spans="1:10" outlineLevel="1" x14ac:dyDescent="0.25">
      <c r="A222" s="7" t="s">
        <v>58</v>
      </c>
      <c r="B222" s="7"/>
      <c r="C222" s="7">
        <f>SUM(C216:C220)</f>
        <v>-119736994.77492443</v>
      </c>
      <c r="D222" s="7">
        <f t="shared" ref="D222:H222" si="68">SUM(D216:D220)</f>
        <v>-30809762.424424157</v>
      </c>
      <c r="E222" s="7">
        <f t="shared" si="68"/>
        <v>-38156508.268000141</v>
      </c>
      <c r="F222" s="7">
        <f t="shared" si="68"/>
        <v>-19930153.645345338</v>
      </c>
      <c r="G222" s="7">
        <f t="shared" si="68"/>
        <v>-27338409.045282818</v>
      </c>
      <c r="H222" s="7">
        <f t="shared" si="68"/>
        <v>-34856471.532735586</v>
      </c>
    </row>
    <row r="223" spans="1:10" outlineLevel="1" x14ac:dyDescent="0.25">
      <c r="D223" s="6"/>
      <c r="E223" s="6"/>
      <c r="F223" s="6"/>
      <c r="G223" s="6"/>
      <c r="H223" s="6"/>
    </row>
    <row r="224" spans="1:10" outlineLevel="1" x14ac:dyDescent="0.25">
      <c r="A224" s="2" t="s">
        <v>59</v>
      </c>
      <c r="C224" s="2">
        <f t="shared" ref="C224:H224" si="69">C222+C213+C205</f>
        <v>-189254604.66129375</v>
      </c>
      <c r="D224" s="2">
        <f t="shared" si="69"/>
        <v>112055563.58688544</v>
      </c>
      <c r="E224" s="2">
        <f t="shared" si="69"/>
        <v>118245233.53904249</v>
      </c>
      <c r="F224" s="2">
        <f t="shared" si="69"/>
        <v>109289434.52205953</v>
      </c>
      <c r="G224" s="2">
        <f t="shared" si="69"/>
        <v>140862549.23251587</v>
      </c>
      <c r="H224" s="2">
        <f t="shared" si="69"/>
        <v>-32187523.076948822</v>
      </c>
    </row>
    <row r="225" spans="1:8" outlineLevel="1" x14ac:dyDescent="0.25">
      <c r="D225" s="6"/>
      <c r="E225" s="6"/>
      <c r="F225" s="6"/>
      <c r="G225" s="6"/>
      <c r="H225" s="6"/>
    </row>
    <row r="226" spans="1:8" outlineLevel="1" x14ac:dyDescent="0.25">
      <c r="A226" s="2" t="s">
        <v>60</v>
      </c>
      <c r="C226" s="5">
        <f>B143</f>
        <v>96170399.524995089</v>
      </c>
      <c r="D226" s="9">
        <f>C228</f>
        <v>-93084205.136298656</v>
      </c>
      <c r="E226" s="9">
        <f t="shared" ref="E226:H226" si="70">D228</f>
        <v>18971358.450586781</v>
      </c>
      <c r="F226" s="9">
        <f t="shared" si="70"/>
        <v>137216591.98962927</v>
      </c>
      <c r="G226" s="9">
        <f t="shared" si="70"/>
        <v>246506026.5116888</v>
      </c>
      <c r="H226" s="9">
        <f t="shared" si="70"/>
        <v>387368575.74420464</v>
      </c>
    </row>
    <row r="227" spans="1:8" outlineLevel="1" x14ac:dyDescent="0.25">
      <c r="D227" s="6"/>
      <c r="E227" s="6"/>
      <c r="F227" s="6"/>
      <c r="G227" s="6"/>
      <c r="H227" s="6"/>
    </row>
    <row r="228" spans="1:8" ht="15.75" outlineLevel="1" thickBot="1" x14ac:dyDescent="0.3">
      <c r="A228" s="7" t="s">
        <v>61</v>
      </c>
      <c r="B228" s="12"/>
      <c r="C228" s="12">
        <f>C224+C226</f>
        <v>-93084205.136298656</v>
      </c>
      <c r="D228" s="12">
        <f t="shared" ref="D228:H228" si="71">D224+D226</f>
        <v>18971358.450586781</v>
      </c>
      <c r="E228" s="12">
        <f t="shared" si="71"/>
        <v>137216591.98962927</v>
      </c>
      <c r="F228" s="12">
        <f t="shared" si="71"/>
        <v>246506026.5116888</v>
      </c>
      <c r="G228" s="12">
        <f t="shared" si="71"/>
        <v>387368575.74420464</v>
      </c>
      <c r="H228" s="12">
        <f t="shared" si="71"/>
        <v>355181052.66725582</v>
      </c>
    </row>
    <row r="229" spans="1:8" ht="15.75" outlineLevel="1" thickTop="1" x14ac:dyDescent="0.25">
      <c r="D229" s="6"/>
      <c r="E229" s="6"/>
      <c r="F229" s="6"/>
      <c r="G229" s="6"/>
      <c r="H229" s="6"/>
    </row>
    <row r="230" spans="1:8" outlineLevel="1" x14ac:dyDescent="0.25">
      <c r="A230" s="2" t="s">
        <v>164</v>
      </c>
      <c r="C230" s="2">
        <f t="shared" ref="C230:H230" si="72">C121/365*C25</f>
        <v>145397260.2739726</v>
      </c>
      <c r="D230" s="2">
        <f t="shared" si="72"/>
        <v>146848742.46575344</v>
      </c>
      <c r="E230" s="2">
        <f t="shared" si="72"/>
        <v>132301050.01643834</v>
      </c>
      <c r="F230" s="2">
        <f t="shared" si="72"/>
        <v>155344299.43364385</v>
      </c>
      <c r="G230" s="2">
        <f t="shared" si="72"/>
        <v>137142110.17483401</v>
      </c>
      <c r="H230" s="2">
        <f t="shared" si="72"/>
        <v>148701034.31231385</v>
      </c>
    </row>
    <row r="231" spans="1:8" outlineLevel="1" x14ac:dyDescent="0.25">
      <c r="D231" s="6"/>
      <c r="E231" s="6"/>
      <c r="F231" s="6"/>
      <c r="G231" s="6"/>
      <c r="H231" s="6"/>
    </row>
    <row r="232" spans="1:8" outlineLevel="1" x14ac:dyDescent="0.25">
      <c r="A232" s="16" t="s">
        <v>165</v>
      </c>
      <c r="B232" s="17"/>
      <c r="C232" s="17">
        <f>C228-C230</f>
        <v>-238481465.41027126</v>
      </c>
      <c r="D232" s="17">
        <f>D228-D230</f>
        <v>-127877384.01516666</v>
      </c>
      <c r="E232" s="17">
        <f t="shared" ref="E232:H232" si="73">E228-E230</f>
        <v>4915541.9731909335</v>
      </c>
      <c r="F232" s="17">
        <f t="shared" si="73"/>
        <v>91161727.078044951</v>
      </c>
      <c r="G232" s="17">
        <f t="shared" si="73"/>
        <v>250226465.56937063</v>
      </c>
      <c r="H232" s="17">
        <f t="shared" si="73"/>
        <v>206480018.35494196</v>
      </c>
    </row>
    <row r="233" spans="1:8" outlineLevel="1" x14ac:dyDescent="0.25">
      <c r="D233" s="6"/>
      <c r="E233" s="6"/>
      <c r="F233" s="6"/>
      <c r="G233" s="6"/>
      <c r="H233" s="6"/>
    </row>
    <row r="234" spans="1:8" x14ac:dyDescent="0.25">
      <c r="D234" s="6"/>
      <c r="E234" s="6"/>
      <c r="F234" s="6"/>
      <c r="G234" s="6"/>
      <c r="H234" s="6"/>
    </row>
    <row r="235" spans="1:8" x14ac:dyDescent="0.25">
      <c r="D235" s="56"/>
      <c r="E235" s="6"/>
      <c r="F235" s="6"/>
      <c r="G235" s="6"/>
      <c r="H235" s="6"/>
    </row>
    <row r="236" spans="1:8" x14ac:dyDescent="0.25">
      <c r="A236" s="22" t="s">
        <v>0</v>
      </c>
      <c r="D236" s="6"/>
      <c r="E236" s="6"/>
      <c r="F236" s="6"/>
      <c r="G236" s="6"/>
      <c r="H236" s="6"/>
    </row>
    <row r="237" spans="1:8" x14ac:dyDescent="0.25">
      <c r="A237" s="22" t="s">
        <v>62</v>
      </c>
      <c r="D237" s="6"/>
      <c r="E237" s="6"/>
      <c r="F237" s="6"/>
      <c r="G237" s="6"/>
      <c r="H237" s="6"/>
    </row>
    <row r="238" spans="1:8" x14ac:dyDescent="0.25">
      <c r="A238" s="22" t="s">
        <v>301</v>
      </c>
      <c r="B238" s="52"/>
      <c r="C238" s="53"/>
      <c r="D238" s="6"/>
      <c r="E238" s="6"/>
      <c r="F238" s="6"/>
      <c r="G238" s="6"/>
      <c r="H238" s="6"/>
    </row>
    <row r="239" spans="1:8" x14ac:dyDescent="0.25">
      <c r="A239" s="123"/>
      <c r="B239" s="13"/>
      <c r="C239" s="13">
        <v>2022</v>
      </c>
      <c r="D239" s="19">
        <v>2023</v>
      </c>
      <c r="E239" s="19">
        <v>2024</v>
      </c>
      <c r="F239" s="19">
        <v>2025</v>
      </c>
      <c r="G239" s="19">
        <v>2026</v>
      </c>
      <c r="H239" s="19">
        <v>2027</v>
      </c>
    </row>
    <row r="240" spans="1:8" outlineLevel="1" x14ac:dyDescent="0.25">
      <c r="A240" s="44" t="s">
        <v>63</v>
      </c>
      <c r="D240" s="6"/>
      <c r="E240" s="6"/>
      <c r="F240" s="6"/>
      <c r="G240" s="6"/>
      <c r="H240" s="6"/>
    </row>
    <row r="241" spans="1:8" outlineLevel="1" x14ac:dyDescent="0.25">
      <c r="A241" s="2" t="s">
        <v>64</v>
      </c>
      <c r="B241" s="21"/>
      <c r="C241" s="54">
        <f t="shared" ref="C241:H241" si="74">C148/C166</f>
        <v>1.2279874166350933</v>
      </c>
      <c r="D241" s="54">
        <f t="shared" si="74"/>
        <v>2.4569231629489323</v>
      </c>
      <c r="E241" s="54">
        <f t="shared" si="74"/>
        <v>3.563982892017092</v>
      </c>
      <c r="F241" s="54">
        <f t="shared" si="74"/>
        <v>4.7384026388483873</v>
      </c>
      <c r="G241" s="54">
        <f t="shared" si="74"/>
        <v>5.8414455651930517</v>
      </c>
      <c r="H241" s="54">
        <f t="shared" si="74"/>
        <v>5.6807251718250864</v>
      </c>
    </row>
    <row r="242" spans="1:8" outlineLevel="1" x14ac:dyDescent="0.25">
      <c r="A242" s="2" t="s">
        <v>65</v>
      </c>
      <c r="B242" s="21"/>
      <c r="C242" s="54">
        <f t="shared" ref="C242:H242" si="75">(C148-C146)/C166</f>
        <v>0.61822832392010063</v>
      </c>
      <c r="D242" s="54">
        <f t="shared" si="75"/>
        <v>1.8471419809238345</v>
      </c>
      <c r="E242" s="54">
        <f t="shared" si="75"/>
        <v>3.0036635175921282</v>
      </c>
      <c r="F242" s="54">
        <f t="shared" si="75"/>
        <v>4.147326309784404</v>
      </c>
      <c r="G242" s="54">
        <f t="shared" si="75"/>
        <v>5.2748281016054994</v>
      </c>
      <c r="H242" s="54">
        <f t="shared" si="75"/>
        <v>5.1221151118881458</v>
      </c>
    </row>
    <row r="243" spans="1:8" outlineLevel="1" x14ac:dyDescent="0.25">
      <c r="B243" s="21"/>
      <c r="C243" s="21"/>
      <c r="D243" s="6"/>
      <c r="E243" s="6"/>
      <c r="F243" s="6"/>
      <c r="G243" s="6"/>
      <c r="H243" s="6"/>
    </row>
    <row r="244" spans="1:8" outlineLevel="1" x14ac:dyDescent="0.25">
      <c r="A244" s="44" t="s">
        <v>66</v>
      </c>
      <c r="B244" s="21"/>
      <c r="C244" s="21"/>
      <c r="D244" s="6"/>
      <c r="E244" s="6"/>
      <c r="F244" s="6"/>
      <c r="G244" s="6"/>
      <c r="H244" s="6"/>
    </row>
    <row r="245" spans="1:8" outlineLevel="1" x14ac:dyDescent="0.25">
      <c r="A245" s="2" t="s">
        <v>67</v>
      </c>
      <c r="B245" s="38"/>
      <c r="C245" s="38">
        <f t="shared" ref="C245:H245" si="76">C173/C158</f>
        <v>0.51114096483114446</v>
      </c>
      <c r="D245" s="38">
        <f t="shared" si="76"/>
        <v>0.31521138218643407</v>
      </c>
      <c r="E245" s="38">
        <f t="shared" si="76"/>
        <v>0.20268836225826947</v>
      </c>
      <c r="F245" s="38">
        <f t="shared" si="76"/>
        <v>0.16927547907557036</v>
      </c>
      <c r="G245" s="38">
        <f t="shared" si="76"/>
        <v>0.14611473268102046</v>
      </c>
      <c r="H245" s="38">
        <f t="shared" si="76"/>
        <v>0.12653777621775522</v>
      </c>
    </row>
    <row r="246" spans="1:8" outlineLevel="1" x14ac:dyDescent="0.25">
      <c r="A246" s="2" t="s">
        <v>68</v>
      </c>
      <c r="B246" s="21"/>
      <c r="C246" s="54">
        <f t="shared" ref="C246:H246" si="77">C173/C179</f>
        <v>1.045579457592704</v>
      </c>
      <c r="D246" s="54">
        <f t="shared" si="77"/>
        <v>0.46030464582320296</v>
      </c>
      <c r="E246" s="54">
        <f t="shared" si="77"/>
        <v>0.2542147294279497</v>
      </c>
      <c r="F246" s="54">
        <f t="shared" si="77"/>
        <v>0.20376848740085426</v>
      </c>
      <c r="G246" s="54">
        <f t="shared" si="77"/>
        <v>0.171117523950015</v>
      </c>
      <c r="H246" s="54">
        <f t="shared" si="77"/>
        <v>0.14486920300894573</v>
      </c>
    </row>
    <row r="247" spans="1:8" outlineLevel="1" x14ac:dyDescent="0.25">
      <c r="A247" s="2" t="s">
        <v>166</v>
      </c>
      <c r="B247" s="21"/>
      <c r="C247" s="54">
        <f t="shared" ref="C247:H247" si="78">IFERROR(C127/-C130,0)</f>
        <v>27.306021286723013</v>
      </c>
      <c r="D247" s="54">
        <f t="shared" si="78"/>
        <v>42.735036093195951</v>
      </c>
      <c r="E247" s="54">
        <f t="shared" si="78"/>
        <v>117.13110018447813</v>
      </c>
      <c r="F247" s="54">
        <f t="shared" si="78"/>
        <v>0</v>
      </c>
      <c r="G247" s="54">
        <f t="shared" si="78"/>
        <v>0</v>
      </c>
      <c r="H247" s="54">
        <f t="shared" si="78"/>
        <v>0</v>
      </c>
    </row>
    <row r="248" spans="1:8" outlineLevel="1" x14ac:dyDescent="0.25">
      <c r="A248" s="2" t="s">
        <v>69</v>
      </c>
      <c r="B248" s="21"/>
      <c r="C248" s="54">
        <f t="shared" ref="C248:H248" si="79">IFERROR((C127-C126)/-C130,0)</f>
        <v>29.448722555637598</v>
      </c>
      <c r="D248" s="54">
        <f t="shared" si="79"/>
        <v>46.12428623528178</v>
      </c>
      <c r="E248" s="54">
        <f t="shared" si="79"/>
        <v>126.42058802010716</v>
      </c>
      <c r="F248" s="54">
        <f t="shared" si="79"/>
        <v>0</v>
      </c>
      <c r="G248" s="54">
        <f t="shared" si="79"/>
        <v>0</v>
      </c>
      <c r="H248" s="54">
        <f t="shared" si="79"/>
        <v>0</v>
      </c>
    </row>
    <row r="249" spans="1:8" outlineLevel="1" x14ac:dyDescent="0.25">
      <c r="B249" s="21"/>
      <c r="C249" s="21"/>
      <c r="D249" s="6"/>
      <c r="E249" s="6"/>
      <c r="F249" s="6"/>
      <c r="G249" s="6"/>
      <c r="H249" s="6"/>
    </row>
    <row r="250" spans="1:8" outlineLevel="1" x14ac:dyDescent="0.25">
      <c r="A250" s="44" t="s">
        <v>70</v>
      </c>
      <c r="B250" s="21"/>
      <c r="C250" s="21"/>
      <c r="D250" s="6"/>
      <c r="E250" s="6"/>
      <c r="F250" s="6"/>
      <c r="G250" s="6"/>
      <c r="H250" s="6"/>
    </row>
    <row r="251" spans="1:8" outlineLevel="1" x14ac:dyDescent="0.25">
      <c r="A251" s="2" t="s">
        <v>71</v>
      </c>
      <c r="B251" s="21"/>
      <c r="C251" s="38">
        <f t="shared" ref="C251:H251" si="80">C134/C121</f>
        <v>0.21745348586075228</v>
      </c>
      <c r="D251" s="38">
        <f t="shared" si="80"/>
        <v>0.21173224006093266</v>
      </c>
      <c r="E251" s="38">
        <f t="shared" si="80"/>
        <v>0.2149545249611223</v>
      </c>
      <c r="F251" s="38">
        <f t="shared" si="80"/>
        <v>0.21680548929900992</v>
      </c>
      <c r="G251" s="38">
        <f t="shared" si="80"/>
        <v>0.21680548929900986</v>
      </c>
      <c r="H251" s="38">
        <f t="shared" si="80"/>
        <v>0.20343044907657573</v>
      </c>
    </row>
    <row r="252" spans="1:8" outlineLevel="1" x14ac:dyDescent="0.25">
      <c r="A252" s="2" t="s">
        <v>72</v>
      </c>
      <c r="B252" s="21"/>
      <c r="C252" s="38">
        <v>4.249232849638529E-2</v>
      </c>
      <c r="D252" s="38">
        <f>D127/D121*0.65</f>
        <v>0.21680548929900992</v>
      </c>
      <c r="E252" s="38">
        <f>E127/E121*0.65</f>
        <v>0.21680548929900992</v>
      </c>
      <c r="F252" s="38">
        <f>F127/F121*0.65</f>
        <v>0.21680548929900992</v>
      </c>
      <c r="G252" s="38">
        <f>G127/G121*0.65</f>
        <v>0.21680548929900986</v>
      </c>
      <c r="H252" s="38">
        <f>H127/H121*0.65</f>
        <v>0.2034304490765757</v>
      </c>
    </row>
    <row r="253" spans="1:8" outlineLevel="1" x14ac:dyDescent="0.25">
      <c r="A253" s="2" t="s">
        <v>73</v>
      </c>
      <c r="B253" s="21"/>
      <c r="C253" s="38">
        <v>0.13575180735424144</v>
      </c>
      <c r="D253" s="38">
        <f>D123/D121*0.65</f>
        <v>0.34450000000000003</v>
      </c>
      <c r="E253" s="38">
        <f>E123/E121*0.65</f>
        <v>0.34450000000000003</v>
      </c>
      <c r="F253" s="38">
        <f>F123/F121*0.65</f>
        <v>0.34450000000000003</v>
      </c>
      <c r="G253" s="38">
        <f>G123/G121*0.65</f>
        <v>0.34450000000000003</v>
      </c>
      <c r="H253" s="38">
        <f>H123/H121*0.65</f>
        <v>0.34450000000000003</v>
      </c>
    </row>
    <row r="254" spans="1:8" outlineLevel="1" x14ac:dyDescent="0.25">
      <c r="B254" s="21"/>
      <c r="C254" s="38"/>
      <c r="D254" s="6"/>
      <c r="E254" s="6"/>
      <c r="F254" s="6"/>
      <c r="G254" s="6"/>
      <c r="H254" s="6"/>
    </row>
    <row r="255" spans="1:8" outlineLevel="1" x14ac:dyDescent="0.25">
      <c r="A255" s="2" t="s">
        <v>74</v>
      </c>
      <c r="B255" s="21"/>
      <c r="C255" s="38">
        <v>5.1153617380959832E-2</v>
      </c>
      <c r="D255" s="38">
        <f>D127/D158*0.65</f>
        <v>0.35665974660180655</v>
      </c>
      <c r="E255" s="38">
        <f>E127/E158*0.65</f>
        <v>0.28700141472902158</v>
      </c>
      <c r="F255" s="38">
        <f>F127/F158*0.65</f>
        <v>0.2321886252713603</v>
      </c>
      <c r="G255" s="38">
        <f>G127/G158*0.65</f>
        <v>0.19804514158936462</v>
      </c>
      <c r="H255" s="38">
        <f>H127/H158*0.65</f>
        <v>0.16789179039904201</v>
      </c>
    </row>
    <row r="256" spans="1:8" outlineLevel="1" x14ac:dyDescent="0.25">
      <c r="A256" s="2" t="s">
        <v>75</v>
      </c>
      <c r="B256" s="21"/>
      <c r="C256" s="38">
        <v>0.10683229813664596</v>
      </c>
      <c r="D256" s="38">
        <f>+D134/D179</f>
        <v>0.50864441693896445</v>
      </c>
      <c r="E256" s="38">
        <f>+E134/E179</f>
        <v>0.35688825205115493</v>
      </c>
      <c r="F256" s="38">
        <f>+F134/F179</f>
        <v>0.27950135023458916</v>
      </c>
      <c r="G256" s="38">
        <f>+G134/G179</f>
        <v>0.23193413584846684</v>
      </c>
      <c r="H256" s="38">
        <f>+H134/H179</f>
        <v>0.1922141402658962</v>
      </c>
    </row>
    <row r="257" spans="1:8" outlineLevel="1" x14ac:dyDescent="0.25">
      <c r="B257" s="21"/>
      <c r="C257" s="38"/>
      <c r="D257" s="6"/>
      <c r="E257" s="6"/>
      <c r="F257" s="6"/>
      <c r="G257" s="6"/>
      <c r="H257" s="6"/>
    </row>
    <row r="258" spans="1:8" outlineLevel="1" x14ac:dyDescent="0.25">
      <c r="A258" s="18" t="s">
        <v>76</v>
      </c>
      <c r="B258" s="21"/>
      <c r="C258" s="21"/>
      <c r="D258" s="6"/>
      <c r="E258" s="6"/>
      <c r="F258" s="6"/>
      <c r="G258" s="6"/>
      <c r="H258" s="6"/>
    </row>
    <row r="259" spans="1:8" outlineLevel="1" x14ac:dyDescent="0.25">
      <c r="A259" s="2" t="s">
        <v>77</v>
      </c>
      <c r="B259" s="21"/>
      <c r="C259" s="38">
        <f>C252</f>
        <v>4.249232849638529E-2</v>
      </c>
      <c r="D259" s="38">
        <f>D252</f>
        <v>0.21680548929900992</v>
      </c>
      <c r="E259" s="38">
        <f t="shared" ref="E259:H259" si="81">E252</f>
        <v>0.21680548929900992</v>
      </c>
      <c r="F259" s="38">
        <f t="shared" si="81"/>
        <v>0.21680548929900992</v>
      </c>
      <c r="G259" s="38">
        <f t="shared" si="81"/>
        <v>0.21680548929900986</v>
      </c>
      <c r="H259" s="38">
        <f t="shared" si="81"/>
        <v>0.2034304490765757</v>
      </c>
    </row>
    <row r="260" spans="1:8" outlineLevel="1" x14ac:dyDescent="0.25">
      <c r="A260" s="2" t="s">
        <v>78</v>
      </c>
      <c r="B260" s="21"/>
      <c r="C260" s="55">
        <f t="shared" ref="C260:H260" si="82">C121/C158</f>
        <v>2.2481085241461685</v>
      </c>
      <c r="D260" s="55">
        <f t="shared" si="82"/>
        <v>1.6450678797616374</v>
      </c>
      <c r="E260" s="55">
        <f t="shared" si="82"/>
        <v>1.3237737460290968</v>
      </c>
      <c r="F260" s="55">
        <f t="shared" si="82"/>
        <v>1.0709536277060521</v>
      </c>
      <c r="G260" s="55">
        <f t="shared" si="82"/>
        <v>0.91346922178814538</v>
      </c>
      <c r="H260" s="55">
        <f t="shared" si="82"/>
        <v>0.8253031498536576</v>
      </c>
    </row>
    <row r="261" spans="1:8" outlineLevel="1" x14ac:dyDescent="0.25">
      <c r="B261" s="21"/>
      <c r="C261" s="38">
        <f>C259*C260</f>
        <v>9.552736590354291E-2</v>
      </c>
      <c r="D261" s="38">
        <f t="shared" ref="D261:H261" si="83">D259*D260</f>
        <v>0.3566597466018066</v>
      </c>
      <c r="E261" s="38">
        <f t="shared" si="83"/>
        <v>0.28700141472902163</v>
      </c>
      <c r="F261" s="38">
        <f t="shared" si="83"/>
        <v>0.23218862527136033</v>
      </c>
      <c r="G261" s="38">
        <f t="shared" si="83"/>
        <v>0.19804514158936462</v>
      </c>
      <c r="H261" s="38">
        <f t="shared" si="83"/>
        <v>0.16789179039904201</v>
      </c>
    </row>
    <row r="262" spans="1:8" outlineLevel="1" x14ac:dyDescent="0.25">
      <c r="A262" s="18" t="s">
        <v>79</v>
      </c>
      <c r="B262" s="21"/>
      <c r="C262" s="38"/>
      <c r="D262" s="6"/>
      <c r="E262" s="6"/>
      <c r="F262" s="6"/>
      <c r="G262" s="6"/>
      <c r="H262" s="6"/>
    </row>
    <row r="263" spans="1:8" outlineLevel="1" x14ac:dyDescent="0.25">
      <c r="A263" s="2" t="s">
        <v>77</v>
      </c>
      <c r="B263" s="21"/>
      <c r="C263" s="38">
        <f t="shared" ref="C263:H263" si="84">C251</f>
        <v>0.21745348586075228</v>
      </c>
      <c r="D263" s="38">
        <f t="shared" si="84"/>
        <v>0.21173224006093266</v>
      </c>
      <c r="E263" s="38">
        <f t="shared" si="84"/>
        <v>0.2149545249611223</v>
      </c>
      <c r="F263" s="38">
        <f t="shared" si="84"/>
        <v>0.21680548929900992</v>
      </c>
      <c r="G263" s="38">
        <f t="shared" si="84"/>
        <v>0.21680548929900986</v>
      </c>
      <c r="H263" s="38">
        <f t="shared" si="84"/>
        <v>0.20343044907657573</v>
      </c>
    </row>
    <row r="264" spans="1:8" outlineLevel="1" x14ac:dyDescent="0.25">
      <c r="A264" s="2" t="s">
        <v>78</v>
      </c>
      <c r="B264" s="21"/>
      <c r="C264" s="47">
        <f>C260</f>
        <v>2.2481085241461685</v>
      </c>
      <c r="D264" s="47">
        <f t="shared" ref="D264:H264" si="85">D260</f>
        <v>1.6450678797616374</v>
      </c>
      <c r="E264" s="47">
        <f t="shared" si="85"/>
        <v>1.3237737460290968</v>
      </c>
      <c r="F264" s="47">
        <f t="shared" si="85"/>
        <v>1.0709536277060521</v>
      </c>
      <c r="G264" s="47">
        <f t="shared" si="85"/>
        <v>0.91346922178814538</v>
      </c>
      <c r="H264" s="47">
        <f t="shared" si="85"/>
        <v>0.8253031498536576</v>
      </c>
    </row>
    <row r="265" spans="1:8" outlineLevel="1" x14ac:dyDescent="0.25">
      <c r="A265" s="2" t="s">
        <v>167</v>
      </c>
      <c r="B265" s="21"/>
      <c r="C265" s="55">
        <f t="shared" ref="C265:H265" si="86">C158/C179</f>
        <v>2.0455794575927038</v>
      </c>
      <c r="D265" s="55">
        <f t="shared" si="86"/>
        <v>1.4603046458232032</v>
      </c>
      <c r="E265" s="55">
        <f t="shared" si="86"/>
        <v>1.2542147294279498</v>
      </c>
      <c r="F265" s="55">
        <f t="shared" si="86"/>
        <v>1.2037684874008541</v>
      </c>
      <c r="G265" s="55">
        <f t="shared" si="86"/>
        <v>1.1711175239500149</v>
      </c>
      <c r="H265" s="55">
        <f t="shared" si="86"/>
        <v>1.1448692030089456</v>
      </c>
    </row>
    <row r="266" spans="1:8" outlineLevel="1" x14ac:dyDescent="0.25">
      <c r="B266" s="21"/>
      <c r="C266" s="38">
        <f>C263*C264*C265</f>
        <v>1</v>
      </c>
      <c r="D266" s="38">
        <f t="shared" ref="D266:H266" si="87">D263*D264*D265</f>
        <v>0.50864441693896445</v>
      </c>
      <c r="E266" s="38">
        <f t="shared" si="87"/>
        <v>0.35688825205115493</v>
      </c>
      <c r="F266" s="38">
        <f t="shared" si="87"/>
        <v>0.27950135023458916</v>
      </c>
      <c r="G266" s="38">
        <f t="shared" si="87"/>
        <v>0.23193413584846681</v>
      </c>
      <c r="H266" s="38">
        <f t="shared" si="87"/>
        <v>0.1922141402658962</v>
      </c>
    </row>
    <row r="267" spans="1:8" outlineLevel="1" x14ac:dyDescent="0.25">
      <c r="A267" s="18" t="s">
        <v>80</v>
      </c>
      <c r="B267" s="21"/>
      <c r="C267" s="38"/>
      <c r="D267" s="6"/>
      <c r="E267" s="6"/>
      <c r="F267" s="6"/>
      <c r="G267" s="6"/>
      <c r="H267" s="6"/>
    </row>
    <row r="268" spans="1:8" outlineLevel="1" x14ac:dyDescent="0.25">
      <c r="A268" s="2" t="s">
        <v>81</v>
      </c>
      <c r="B268" s="21"/>
      <c r="C268" s="38">
        <f t="shared" ref="C268:H268" si="88">-C133/C131</f>
        <v>0.32379999999999998</v>
      </c>
      <c r="D268" s="38">
        <f t="shared" si="88"/>
        <v>0.35</v>
      </c>
      <c r="E268" s="38">
        <f t="shared" si="88"/>
        <v>0.34999999999999992</v>
      </c>
      <c r="F268" s="38">
        <f t="shared" si="88"/>
        <v>0.35</v>
      </c>
      <c r="G268" s="38">
        <f t="shared" si="88"/>
        <v>0.35</v>
      </c>
      <c r="H268" s="38">
        <f t="shared" si="88"/>
        <v>0.34999999999999992</v>
      </c>
    </row>
    <row r="269" spans="1:8" outlineLevel="1" x14ac:dyDescent="0.25">
      <c r="A269" s="2" t="s">
        <v>229</v>
      </c>
      <c r="B269" s="21"/>
      <c r="C269" s="146">
        <f t="shared" ref="C269:H269" si="89">C127*(1-C47)</f>
        <v>135431872.02048001</v>
      </c>
      <c r="D269" s="146">
        <f t="shared" si="89"/>
        <v>131384126.5152</v>
      </c>
      <c r="E269" s="146">
        <f t="shared" si="89"/>
        <v>134011809.045504</v>
      </c>
      <c r="F269" s="146">
        <f t="shared" si="89"/>
        <v>136692045.22641408</v>
      </c>
      <c r="G269" s="146">
        <f t="shared" si="89"/>
        <v>139425886.13094234</v>
      </c>
      <c r="H269" s="146">
        <f t="shared" si="89"/>
        <v>134749239.24588123</v>
      </c>
    </row>
    <row r="270" spans="1:8" outlineLevel="1" x14ac:dyDescent="0.25">
      <c r="A270" s="2" t="s">
        <v>82</v>
      </c>
      <c r="B270" s="21"/>
      <c r="C270" s="147"/>
      <c r="D270" s="146"/>
      <c r="E270" s="146"/>
      <c r="F270" s="146"/>
      <c r="G270" s="146"/>
      <c r="H270" s="146"/>
    </row>
    <row r="271" spans="1:8" outlineLevel="1" x14ac:dyDescent="0.25">
      <c r="A271" s="2" t="s">
        <v>83</v>
      </c>
      <c r="B271" s="21"/>
      <c r="C271" s="146">
        <f>(B162+C170)</f>
        <v>141563584.7790944</v>
      </c>
      <c r="D271" s="146">
        <f>(C162+D170)</f>
        <v>24181416.443772532</v>
      </c>
      <c r="E271" s="146">
        <f>(D162+E170)</f>
        <v>0</v>
      </c>
      <c r="F271" s="146">
        <f t="shared" ref="F271:G271" si="90">(E162+F170)</f>
        <v>0</v>
      </c>
      <c r="G271" s="146">
        <f t="shared" si="90"/>
        <v>0</v>
      </c>
      <c r="H271" s="146">
        <f t="shared" ref="H271" si="91">(H162+H170)</f>
        <v>0</v>
      </c>
    </row>
    <row r="272" spans="1:8" outlineLevel="1" x14ac:dyDescent="0.25">
      <c r="A272" s="2" t="s">
        <v>84</v>
      </c>
      <c r="B272" s="21"/>
      <c r="C272" s="148">
        <f t="shared" ref="C272:H272" si="92">C179</f>
        <v>130472091.51645136</v>
      </c>
      <c r="D272" s="148">
        <f t="shared" si="92"/>
        <v>252258224.41755399</v>
      </c>
      <c r="E272" s="148">
        <f t="shared" si="92"/>
        <v>372294941.63883036</v>
      </c>
      <c r="F272" s="148">
        <f t="shared" si="92"/>
        <v>489056833.21989912</v>
      </c>
      <c r="G272" s="148">
        <f t="shared" si="92"/>
        <v>601144310.30555868</v>
      </c>
      <c r="H272" s="148">
        <f t="shared" si="92"/>
        <v>701037078.01870441</v>
      </c>
    </row>
    <row r="273" spans="1:8" outlineLevel="1" x14ac:dyDescent="0.25">
      <c r="A273" s="2" t="s">
        <v>85</v>
      </c>
      <c r="B273" s="21"/>
      <c r="C273" s="147">
        <f>D271+C272</f>
        <v>154653507.96022388</v>
      </c>
      <c r="D273" s="147">
        <f>E271+D272</f>
        <v>252258224.41755399</v>
      </c>
      <c r="E273" s="147">
        <f>F271+E272</f>
        <v>372294941.63883036</v>
      </c>
      <c r="F273" s="147">
        <f t="shared" ref="F273:H273" si="93">G271+F272</f>
        <v>489056833.21989912</v>
      </c>
      <c r="G273" s="147">
        <f t="shared" si="93"/>
        <v>601144310.30555868</v>
      </c>
      <c r="H273" s="147">
        <f t="shared" si="93"/>
        <v>701037078.01870441</v>
      </c>
    </row>
    <row r="274" spans="1:8" outlineLevel="1" x14ac:dyDescent="0.25">
      <c r="B274" s="21"/>
      <c r="C274" s="43"/>
      <c r="D274" s="6"/>
      <c r="E274" s="6"/>
      <c r="F274" s="6"/>
      <c r="G274" s="6"/>
      <c r="H274" s="6"/>
    </row>
    <row r="275" spans="1:8" outlineLevel="1" x14ac:dyDescent="0.25">
      <c r="A275" s="2" t="s">
        <v>86</v>
      </c>
      <c r="B275" s="21"/>
      <c r="C275" s="38">
        <f>C269/C273</f>
        <v>0.87571160723565622</v>
      </c>
      <c r="D275" s="38">
        <f t="shared" ref="D275:H275" si="94">D269/D273</f>
        <v>0.52083188494074462</v>
      </c>
      <c r="E275" s="38">
        <f t="shared" si="94"/>
        <v>0.35996140171979862</v>
      </c>
      <c r="F275" s="38">
        <f t="shared" si="94"/>
        <v>0.27950135023458916</v>
      </c>
      <c r="G275" s="38">
        <f t="shared" si="94"/>
        <v>0.23193413584846684</v>
      </c>
      <c r="H275" s="38">
        <f t="shared" si="94"/>
        <v>0.19221414026589614</v>
      </c>
    </row>
    <row r="276" spans="1:8" outlineLevel="1" x14ac:dyDescent="0.25">
      <c r="B276" s="21"/>
      <c r="C276" s="38"/>
      <c r="D276" s="6"/>
      <c r="E276" s="6"/>
      <c r="F276" s="6"/>
      <c r="G276" s="6"/>
      <c r="H276" s="6"/>
    </row>
    <row r="277" spans="1:8" outlineLevel="1" x14ac:dyDescent="0.25">
      <c r="A277" s="44" t="s">
        <v>87</v>
      </c>
      <c r="B277" s="21"/>
      <c r="C277" s="21"/>
      <c r="D277" s="6"/>
      <c r="E277" s="6"/>
      <c r="F277" s="6"/>
      <c r="G277" s="6"/>
      <c r="H277" s="6"/>
    </row>
    <row r="278" spans="1:8" outlineLevel="1" x14ac:dyDescent="0.25">
      <c r="A278" s="2" t="s">
        <v>13</v>
      </c>
      <c r="B278" s="21"/>
      <c r="C278" s="6">
        <f t="shared" ref="C278:H278" si="95">C145/C121*365</f>
        <v>90.86</v>
      </c>
      <c r="D278" s="6">
        <f t="shared" si="95"/>
        <v>90.855000000000004</v>
      </c>
      <c r="E278" s="6">
        <f t="shared" si="95"/>
        <v>86.838199999999986</v>
      </c>
      <c r="F278" s="6">
        <f t="shared" si="95"/>
        <v>96.560199999999995</v>
      </c>
      <c r="G278" s="6">
        <f t="shared" si="95"/>
        <v>88.106000000000009</v>
      </c>
      <c r="H278" s="6">
        <f t="shared" si="95"/>
        <v>90.929299999999998</v>
      </c>
    </row>
    <row r="279" spans="1:8" outlineLevel="1" x14ac:dyDescent="0.25">
      <c r="A279" s="2" t="s">
        <v>14</v>
      </c>
      <c r="B279" s="21"/>
      <c r="C279" s="6">
        <f t="shared" ref="C279:H279" si="96">C146/-C122*365</f>
        <v>71.84</v>
      </c>
      <c r="D279" s="6">
        <f t="shared" si="96"/>
        <v>71.841199999999986</v>
      </c>
      <c r="E279" s="6">
        <f t="shared" si="96"/>
        <v>66.626300000000001</v>
      </c>
      <c r="F279" s="6">
        <f t="shared" si="96"/>
        <v>72.554100000000005</v>
      </c>
      <c r="G279" s="6">
        <f t="shared" si="96"/>
        <v>70.385800000000003</v>
      </c>
      <c r="H279" s="6">
        <f t="shared" si="96"/>
        <v>66.513599999999997</v>
      </c>
    </row>
    <row r="280" spans="1:8" outlineLevel="1" x14ac:dyDescent="0.25">
      <c r="A280" s="2" t="s">
        <v>27</v>
      </c>
      <c r="B280" s="21"/>
      <c r="C280" s="9">
        <f t="shared" ref="C280:H280" si="97">C163/-C122*365</f>
        <v>74.25</v>
      </c>
      <c r="D280" s="9">
        <f t="shared" si="97"/>
        <v>74.247699999999995</v>
      </c>
      <c r="E280" s="9">
        <f t="shared" si="97"/>
        <v>75.340699999999998</v>
      </c>
      <c r="F280" s="9">
        <f t="shared" si="97"/>
        <v>79.18210000000002</v>
      </c>
      <c r="G280" s="9">
        <f t="shared" si="97"/>
        <v>80.653999999999996</v>
      </c>
      <c r="H280" s="9">
        <f t="shared" si="97"/>
        <v>75.502799999999993</v>
      </c>
    </row>
    <row r="281" spans="1:8" outlineLevel="1" x14ac:dyDescent="0.25">
      <c r="A281" s="2" t="s">
        <v>88</v>
      </c>
      <c r="B281" s="21"/>
      <c r="C281" s="2">
        <f>C278+C279-C280</f>
        <v>88.449999999999989</v>
      </c>
      <c r="D281" s="2">
        <f t="shared" ref="D281:H281" si="98">D278+D279-D280</f>
        <v>88.448499999999981</v>
      </c>
      <c r="E281" s="2">
        <f t="shared" si="98"/>
        <v>78.123799999999989</v>
      </c>
      <c r="F281" s="2">
        <f t="shared" si="98"/>
        <v>89.932199999999995</v>
      </c>
      <c r="G281" s="2">
        <f t="shared" si="98"/>
        <v>77.837800000000016</v>
      </c>
      <c r="H281" s="2">
        <f t="shared" si="98"/>
        <v>81.940100000000015</v>
      </c>
    </row>
    <row r="282" spans="1:8" outlineLevel="1" x14ac:dyDescent="0.25">
      <c r="B282" s="21"/>
      <c r="D282" s="6"/>
      <c r="E282" s="6"/>
      <c r="F282" s="6"/>
      <c r="G282" s="6"/>
      <c r="H282" s="6"/>
    </row>
    <row r="283" spans="1:8" outlineLevel="1" x14ac:dyDescent="0.25">
      <c r="A283" s="11" t="s">
        <v>89</v>
      </c>
      <c r="B283" s="21"/>
      <c r="C283" s="2">
        <f t="shared" ref="C283:H283" si="99">C143/C121*365</f>
        <v>-56.626224791248355</v>
      </c>
      <c r="D283" s="2">
        <f t="shared" si="99"/>
        <v>11.426643291195008</v>
      </c>
      <c r="E283" s="2">
        <f t="shared" si="99"/>
        <v>81.02642864850624</v>
      </c>
      <c r="F283" s="2">
        <f t="shared" si="99"/>
        <v>142.70771028147084</v>
      </c>
      <c r="G283" s="2">
        <f t="shared" si="99"/>
        <v>219.85893090476327</v>
      </c>
      <c r="H283" s="2">
        <f t="shared" si="99"/>
        <v>195.71868553741567</v>
      </c>
    </row>
    <row r="284" spans="1:8" outlineLevel="1" x14ac:dyDescent="0.25">
      <c r="B284" s="21"/>
      <c r="C284" s="21"/>
      <c r="D284" s="6"/>
      <c r="E284" s="6"/>
      <c r="F284" s="6"/>
      <c r="G284" s="6"/>
      <c r="H284" s="6"/>
    </row>
    <row r="285" spans="1:8" outlineLevel="1" x14ac:dyDescent="0.25">
      <c r="A285" s="44" t="s">
        <v>90</v>
      </c>
      <c r="B285" s="21"/>
      <c r="C285" s="21"/>
      <c r="D285" s="6"/>
      <c r="E285" s="6"/>
      <c r="F285" s="6"/>
      <c r="G285" s="6"/>
      <c r="H285" s="6"/>
    </row>
    <row r="286" spans="1:8" outlineLevel="1" x14ac:dyDescent="0.25">
      <c r="A286" s="11" t="s">
        <v>91</v>
      </c>
      <c r="C286" s="48">
        <f t="shared" ref="C286:H286" si="100">-C122/C121</f>
        <v>0.47</v>
      </c>
      <c r="D286" s="48">
        <f t="shared" si="100"/>
        <v>0.47</v>
      </c>
      <c r="E286" s="48">
        <f t="shared" si="100"/>
        <v>0.47</v>
      </c>
      <c r="F286" s="48">
        <f t="shared" si="100"/>
        <v>0.47</v>
      </c>
      <c r="G286" s="48">
        <f t="shared" si="100"/>
        <v>0.47000000000000003</v>
      </c>
      <c r="H286" s="48">
        <f t="shared" si="100"/>
        <v>0.47</v>
      </c>
    </row>
    <row r="287" spans="1:8" outlineLevel="1" x14ac:dyDescent="0.25">
      <c r="A287" s="11" t="s">
        <v>92</v>
      </c>
      <c r="C287" s="48">
        <f t="shared" ref="C287:H287" si="101">-C125/C121</f>
        <v>0.17</v>
      </c>
      <c r="D287" s="48">
        <f t="shared" si="101"/>
        <v>0.17</v>
      </c>
      <c r="E287" s="48">
        <f t="shared" si="101"/>
        <v>0.17</v>
      </c>
      <c r="F287" s="48">
        <f t="shared" si="101"/>
        <v>0.17</v>
      </c>
      <c r="G287" s="48">
        <f t="shared" si="101"/>
        <v>0.17</v>
      </c>
      <c r="H287" s="48">
        <f t="shared" si="101"/>
        <v>0.17</v>
      </c>
    </row>
    <row r="288" spans="1:8" outlineLevel="1" x14ac:dyDescent="0.25">
      <c r="A288" s="11" t="s">
        <v>93</v>
      </c>
      <c r="C288" s="48">
        <f t="shared" ref="C288:H288" si="102">C165/-C125</f>
        <v>0.33</v>
      </c>
      <c r="D288" s="48">
        <f t="shared" si="102"/>
        <v>0.33</v>
      </c>
      <c r="E288" s="48">
        <f t="shared" si="102"/>
        <v>0.33</v>
      </c>
      <c r="F288" s="48">
        <f t="shared" si="102"/>
        <v>0.33</v>
      </c>
      <c r="G288" s="48">
        <f t="shared" si="102"/>
        <v>0.33</v>
      </c>
      <c r="H288" s="48">
        <f t="shared" si="102"/>
        <v>0.33</v>
      </c>
    </row>
    <row r="289" spans="1:8" outlineLevel="1" x14ac:dyDescent="0.25">
      <c r="A289" s="11"/>
      <c r="C289" s="48"/>
      <c r="D289" s="48"/>
      <c r="E289" s="48"/>
      <c r="F289" s="48"/>
      <c r="G289" s="48"/>
      <c r="H289" s="48"/>
    </row>
    <row r="290" spans="1:8" outlineLevel="1" x14ac:dyDescent="0.25">
      <c r="A290" s="106" t="s">
        <v>230</v>
      </c>
      <c r="C290" s="48"/>
      <c r="D290" s="48"/>
      <c r="E290" s="48"/>
      <c r="F290" s="48"/>
      <c r="G290" s="48"/>
      <c r="H290" s="48"/>
    </row>
    <row r="291" spans="1:8" outlineLevel="1" x14ac:dyDescent="0.25">
      <c r="A291" s="11" t="s">
        <v>231</v>
      </c>
      <c r="C291" s="51">
        <f>C390/C363</f>
        <v>-11.941226694077059</v>
      </c>
      <c r="D291" s="51">
        <f t="shared" ref="D291:H291" si="103">D390/D363</f>
        <v>5.9386778009363415</v>
      </c>
      <c r="E291" s="51">
        <f t="shared" si="103"/>
        <v>5.5599438420559002</v>
      </c>
      <c r="F291" s="51">
        <f t="shared" si="103"/>
        <v>6.9080251060699664</v>
      </c>
      <c r="G291" s="51">
        <f t="shared" si="103"/>
        <v>5.4548729339178763</v>
      </c>
      <c r="H291" s="51">
        <f t="shared" si="103"/>
        <v>360.360215711352</v>
      </c>
    </row>
    <row r="292" spans="1:8" outlineLevel="1" x14ac:dyDescent="0.25">
      <c r="A292" s="11"/>
      <c r="C292" s="51"/>
      <c r="D292" s="51"/>
      <c r="E292" s="51"/>
      <c r="F292" s="51"/>
      <c r="G292" s="51"/>
      <c r="H292" s="51"/>
    </row>
    <row r="293" spans="1:8" outlineLevel="1" x14ac:dyDescent="0.25">
      <c r="A293" s="106" t="s">
        <v>232</v>
      </c>
      <c r="C293" s="51"/>
      <c r="D293" s="51"/>
      <c r="E293" s="51"/>
      <c r="F293" s="51"/>
      <c r="G293" s="51"/>
      <c r="H293" s="51"/>
    </row>
    <row r="294" spans="1:8" hidden="1" outlineLevel="2" x14ac:dyDescent="0.25">
      <c r="A294" s="106" t="s">
        <v>233</v>
      </c>
      <c r="C294" s="51"/>
      <c r="D294" s="51"/>
      <c r="E294" s="51"/>
      <c r="F294" s="51"/>
      <c r="G294" s="51"/>
      <c r="H294" s="51"/>
    </row>
    <row r="295" spans="1:8" hidden="1" outlineLevel="2" x14ac:dyDescent="0.25">
      <c r="A295" s="11" t="s">
        <v>234</v>
      </c>
      <c r="C295" s="51"/>
      <c r="D295" s="51"/>
      <c r="E295" s="51"/>
      <c r="F295" s="51"/>
      <c r="G295" s="51"/>
      <c r="H295" s="51"/>
    </row>
    <row r="296" spans="1:8" hidden="1" outlineLevel="2" x14ac:dyDescent="0.25">
      <c r="A296" s="107" t="s">
        <v>235</v>
      </c>
      <c r="C296" s="51"/>
      <c r="D296" s="51"/>
      <c r="E296" s="51"/>
      <c r="F296" s="51"/>
      <c r="G296" s="51"/>
      <c r="H296" s="51"/>
    </row>
    <row r="297" spans="1:8" hidden="1" outlineLevel="2" x14ac:dyDescent="0.25">
      <c r="A297" s="11" t="s">
        <v>236</v>
      </c>
      <c r="C297" s="51"/>
      <c r="D297" s="51"/>
      <c r="E297" s="51"/>
      <c r="F297" s="51"/>
      <c r="G297" s="51"/>
      <c r="H297" s="51"/>
    </row>
    <row r="298" spans="1:8" hidden="1" outlineLevel="2" x14ac:dyDescent="0.25">
      <c r="A298" s="11" t="s">
        <v>237</v>
      </c>
      <c r="C298" s="51"/>
      <c r="D298" s="51"/>
      <c r="E298" s="51"/>
      <c r="F298" s="51"/>
      <c r="G298" s="51"/>
      <c r="H298" s="51"/>
    </row>
    <row r="299" spans="1:8" hidden="1" outlineLevel="2" x14ac:dyDescent="0.25">
      <c r="A299" s="11" t="s">
        <v>238</v>
      </c>
      <c r="C299" s="51"/>
      <c r="D299" s="51"/>
      <c r="E299" s="51"/>
      <c r="F299" s="51"/>
      <c r="G299" s="51"/>
      <c r="H299" s="51"/>
    </row>
    <row r="300" spans="1:8" hidden="1" outlineLevel="2" x14ac:dyDescent="0.25">
      <c r="A300" s="11"/>
      <c r="C300" s="51"/>
      <c r="D300" s="51"/>
      <c r="E300" s="51"/>
      <c r="F300" s="51"/>
      <c r="G300" s="51"/>
      <c r="H300" s="51"/>
    </row>
    <row r="301" spans="1:8" hidden="1" outlineLevel="2" x14ac:dyDescent="0.25">
      <c r="A301" s="44" t="s">
        <v>239</v>
      </c>
      <c r="D301" s="6"/>
      <c r="E301" s="6"/>
      <c r="F301" s="6"/>
      <c r="G301" s="6"/>
      <c r="H301" s="6"/>
    </row>
    <row r="302" spans="1:8" hidden="1" outlineLevel="2" x14ac:dyDescent="0.25">
      <c r="A302" s="2" t="s">
        <v>240</v>
      </c>
      <c r="D302" s="6"/>
      <c r="E302" s="6"/>
      <c r="F302" s="6"/>
      <c r="G302" s="6"/>
      <c r="H302" s="6"/>
    </row>
    <row r="303" spans="1:8" hidden="1" outlineLevel="2" x14ac:dyDescent="0.25">
      <c r="A303" s="2" t="s">
        <v>241</v>
      </c>
      <c r="D303" s="6"/>
      <c r="E303" s="6"/>
      <c r="F303" s="6"/>
      <c r="G303" s="6"/>
      <c r="H303" s="6"/>
    </row>
    <row r="304" spans="1:8" hidden="1" outlineLevel="2" x14ac:dyDescent="0.25">
      <c r="A304" s="11"/>
      <c r="C304" s="51"/>
      <c r="D304" s="51"/>
      <c r="E304" s="51"/>
      <c r="F304" s="51"/>
      <c r="G304" s="51"/>
      <c r="H304" s="51"/>
    </row>
    <row r="305" spans="1:8" hidden="1" outlineLevel="2" x14ac:dyDescent="0.25">
      <c r="A305" s="106" t="s">
        <v>242</v>
      </c>
      <c r="C305" s="51"/>
      <c r="D305" s="51"/>
      <c r="E305" s="51"/>
      <c r="F305" s="51"/>
      <c r="G305" s="51"/>
      <c r="H305" s="51"/>
    </row>
    <row r="306" spans="1:8" hidden="1" outlineLevel="2" x14ac:dyDescent="0.25">
      <c r="A306" s="11" t="s">
        <v>243</v>
      </c>
      <c r="C306" s="51"/>
      <c r="D306" s="51"/>
      <c r="E306" s="51"/>
      <c r="F306" s="51"/>
      <c r="G306" s="51"/>
      <c r="H306" s="51"/>
    </row>
    <row r="307" spans="1:8" hidden="1" outlineLevel="2" x14ac:dyDescent="0.25">
      <c r="A307" s="11" t="s">
        <v>244</v>
      </c>
      <c r="C307" s="48"/>
      <c r="D307" s="48"/>
      <c r="E307" s="48"/>
      <c r="F307" s="48"/>
      <c r="G307" s="48"/>
      <c r="H307" s="48"/>
    </row>
    <row r="308" spans="1:8" hidden="1" outlineLevel="2" x14ac:dyDescent="0.25">
      <c r="A308" s="11" t="s">
        <v>245</v>
      </c>
      <c r="C308" s="48"/>
      <c r="D308" s="48"/>
      <c r="E308" s="48"/>
      <c r="F308" s="48"/>
      <c r="G308" s="48"/>
      <c r="H308" s="48"/>
    </row>
    <row r="309" spans="1:8" hidden="1" outlineLevel="2" x14ac:dyDescent="0.25">
      <c r="A309" s="11" t="s">
        <v>246</v>
      </c>
      <c r="D309" s="6"/>
      <c r="E309" s="6"/>
      <c r="F309" s="6"/>
      <c r="G309" s="6"/>
      <c r="H309" s="6"/>
    </row>
    <row r="310" spans="1:8" hidden="1" outlineLevel="2" x14ac:dyDescent="0.25">
      <c r="A310" s="11"/>
      <c r="D310" s="6"/>
      <c r="E310" s="6"/>
      <c r="F310" s="6"/>
      <c r="G310" s="6"/>
      <c r="H310" s="6"/>
    </row>
    <row r="311" spans="1:8" hidden="1" outlineLevel="2" x14ac:dyDescent="0.25">
      <c r="A311" s="44" t="s">
        <v>247</v>
      </c>
      <c r="D311" s="6"/>
      <c r="E311" s="6"/>
      <c r="F311" s="6"/>
      <c r="G311" s="6"/>
      <c r="H311" s="6"/>
    </row>
    <row r="312" spans="1:8" hidden="1" outlineLevel="2" x14ac:dyDescent="0.25">
      <c r="A312" s="2" t="s">
        <v>248</v>
      </c>
      <c r="D312" s="6"/>
      <c r="E312" s="6"/>
      <c r="F312" s="6"/>
      <c r="G312" s="6"/>
      <c r="H312" s="6"/>
    </row>
    <row r="313" spans="1:8" hidden="1" outlineLevel="2" x14ac:dyDescent="0.25">
      <c r="A313" s="2" t="s">
        <v>249</v>
      </c>
      <c r="D313" s="6"/>
      <c r="E313" s="6"/>
      <c r="F313" s="6"/>
      <c r="G313" s="6"/>
      <c r="H313" s="6"/>
    </row>
    <row r="314" spans="1:8" hidden="1" outlineLevel="2" x14ac:dyDescent="0.25">
      <c r="D314" s="6"/>
      <c r="E314" s="6"/>
      <c r="F314" s="6"/>
      <c r="G314" s="6"/>
      <c r="H314" s="6"/>
    </row>
    <row r="315" spans="1:8" hidden="1" outlineLevel="2" x14ac:dyDescent="0.25">
      <c r="A315" s="44" t="s">
        <v>250</v>
      </c>
      <c r="D315" s="6"/>
      <c r="E315" s="6"/>
      <c r="F315" s="6"/>
      <c r="G315" s="6"/>
      <c r="H315" s="6"/>
    </row>
    <row r="316" spans="1:8" hidden="1" outlineLevel="2" x14ac:dyDescent="0.25">
      <c r="A316" s="2" t="s">
        <v>251</v>
      </c>
      <c r="D316" s="6"/>
      <c r="E316" s="6"/>
      <c r="F316" s="6"/>
      <c r="G316" s="6"/>
      <c r="H316" s="6"/>
    </row>
    <row r="317" spans="1:8" outlineLevel="1" collapsed="1" x14ac:dyDescent="0.25">
      <c r="A317" s="11"/>
      <c r="D317" s="6"/>
      <c r="E317" s="6"/>
      <c r="F317" s="6"/>
      <c r="G317" s="6"/>
      <c r="H317" s="6"/>
    </row>
    <row r="318" spans="1:8" outlineLevel="1" x14ac:dyDescent="0.25">
      <c r="A318" s="106" t="s">
        <v>252</v>
      </c>
      <c r="D318" s="6"/>
      <c r="E318" s="6"/>
      <c r="F318" s="6"/>
      <c r="G318" s="6"/>
      <c r="H318" s="6"/>
    </row>
    <row r="319" spans="1:8" hidden="1" outlineLevel="2" x14ac:dyDescent="0.25">
      <c r="A319" s="106" t="s">
        <v>253</v>
      </c>
      <c r="D319" s="6"/>
      <c r="E319" s="6"/>
      <c r="F319" s="6"/>
      <c r="G319" s="6"/>
      <c r="H319" s="6"/>
    </row>
    <row r="320" spans="1:8" hidden="1" outlineLevel="2" x14ac:dyDescent="0.25">
      <c r="A320" s="11" t="s">
        <v>254</v>
      </c>
      <c r="D320" s="6"/>
      <c r="E320" s="6"/>
      <c r="F320" s="6"/>
      <c r="G320" s="6"/>
      <c r="H320" s="6"/>
    </row>
    <row r="321" spans="1:8" hidden="1" outlineLevel="2" x14ac:dyDescent="0.25">
      <c r="A321" s="11"/>
      <c r="D321" s="6"/>
      <c r="E321" s="6"/>
      <c r="F321" s="6"/>
      <c r="G321" s="6"/>
      <c r="H321" s="6"/>
    </row>
    <row r="322" spans="1:8" hidden="1" outlineLevel="2" x14ac:dyDescent="0.25">
      <c r="A322" s="106" t="s">
        <v>255</v>
      </c>
      <c r="D322" s="6"/>
      <c r="E322" s="6"/>
      <c r="F322" s="6"/>
      <c r="G322" s="6"/>
      <c r="H322" s="6"/>
    </row>
    <row r="323" spans="1:8" hidden="1" outlineLevel="2" x14ac:dyDescent="0.25">
      <c r="A323" s="2" t="s">
        <v>256</v>
      </c>
      <c r="D323" s="6"/>
      <c r="E323" s="6"/>
      <c r="F323" s="6"/>
      <c r="G323" s="6"/>
      <c r="H323" s="6"/>
    </row>
    <row r="324" spans="1:8" hidden="1" outlineLevel="2" x14ac:dyDescent="0.25">
      <c r="A324" s="2" t="s">
        <v>257</v>
      </c>
      <c r="D324" s="6"/>
      <c r="E324" s="6"/>
      <c r="F324" s="6"/>
      <c r="G324" s="6"/>
      <c r="H324" s="6"/>
    </row>
    <row r="325" spans="1:8" hidden="1" outlineLevel="2" x14ac:dyDescent="0.25">
      <c r="D325" s="6"/>
      <c r="E325" s="6"/>
      <c r="F325" s="6"/>
      <c r="G325" s="6"/>
      <c r="H325" s="6"/>
    </row>
    <row r="326" spans="1:8" hidden="1" outlineLevel="2" x14ac:dyDescent="0.25">
      <c r="A326" s="44" t="s">
        <v>258</v>
      </c>
      <c r="D326" s="6"/>
      <c r="E326" s="6"/>
      <c r="F326" s="6"/>
      <c r="G326" s="6"/>
      <c r="H326" s="6"/>
    </row>
    <row r="327" spans="1:8" hidden="1" outlineLevel="2" x14ac:dyDescent="0.25">
      <c r="A327" s="2" t="s">
        <v>259</v>
      </c>
      <c r="D327" s="6"/>
      <c r="E327" s="6"/>
      <c r="F327" s="6"/>
      <c r="G327" s="6"/>
      <c r="H327" s="6"/>
    </row>
    <row r="328" spans="1:8" hidden="1" outlineLevel="2" x14ac:dyDescent="0.25">
      <c r="A328" s="2" t="s">
        <v>260</v>
      </c>
      <c r="D328" s="6"/>
      <c r="E328" s="6"/>
      <c r="F328" s="6"/>
      <c r="G328" s="6"/>
      <c r="H328" s="6"/>
    </row>
    <row r="329" spans="1:8" hidden="1" outlineLevel="2" x14ac:dyDescent="0.25">
      <c r="D329" s="6"/>
      <c r="E329" s="6"/>
      <c r="F329" s="6"/>
      <c r="G329" s="6"/>
      <c r="H329" s="6"/>
    </row>
    <row r="330" spans="1:8" hidden="1" outlineLevel="2" x14ac:dyDescent="0.25">
      <c r="A330" s="44" t="s">
        <v>261</v>
      </c>
      <c r="D330" s="6"/>
      <c r="E330" s="6"/>
      <c r="F330" s="6"/>
      <c r="G330" s="6"/>
      <c r="H330" s="6"/>
    </row>
    <row r="331" spans="1:8" hidden="1" outlineLevel="2" x14ac:dyDescent="0.25">
      <c r="A331" s="2" t="s">
        <v>262</v>
      </c>
      <c r="D331" s="6"/>
      <c r="E331" s="6"/>
      <c r="F331" s="6"/>
      <c r="G331" s="6"/>
      <c r="H331" s="6"/>
    </row>
    <row r="332" spans="1:8" hidden="1" outlineLevel="2" x14ac:dyDescent="0.25">
      <c r="D332" s="6"/>
      <c r="E332" s="6"/>
      <c r="F332" s="6"/>
      <c r="G332" s="6"/>
      <c r="H332" s="6"/>
    </row>
    <row r="333" spans="1:8" hidden="1" outlineLevel="2" x14ac:dyDescent="0.25">
      <c r="A333" s="44" t="s">
        <v>263</v>
      </c>
      <c r="D333" s="6"/>
      <c r="E333" s="6"/>
      <c r="F333" s="6"/>
      <c r="G333" s="6"/>
      <c r="H333" s="6"/>
    </row>
    <row r="334" spans="1:8" ht="14.1" hidden="1" customHeight="1" outlineLevel="2" x14ac:dyDescent="0.25">
      <c r="A334" s="2" t="s">
        <v>264</v>
      </c>
      <c r="D334" s="6"/>
      <c r="E334" s="6"/>
      <c r="F334" s="6"/>
      <c r="G334" s="6"/>
      <c r="H334" s="6"/>
    </row>
    <row r="335" spans="1:8" ht="14.1" hidden="1" customHeight="1" outlineLevel="2" x14ac:dyDescent="0.25">
      <c r="A335" s="2" t="s">
        <v>265</v>
      </c>
      <c r="D335" s="6"/>
      <c r="E335" s="6"/>
      <c r="F335" s="6"/>
      <c r="G335" s="6"/>
      <c r="H335" s="6"/>
    </row>
    <row r="336" spans="1:8" ht="14.1" hidden="1" customHeight="1" outlineLevel="2" x14ac:dyDescent="0.25">
      <c r="D336" s="6"/>
      <c r="E336" s="6"/>
      <c r="F336" s="6"/>
      <c r="G336" s="6"/>
      <c r="H336" s="6"/>
    </row>
    <row r="337" spans="1:8" ht="14.1" hidden="1" customHeight="1" outlineLevel="2" x14ac:dyDescent="0.25">
      <c r="A337" s="44" t="s">
        <v>266</v>
      </c>
      <c r="D337" s="6"/>
      <c r="E337" s="6"/>
      <c r="F337" s="6"/>
      <c r="G337" s="6"/>
      <c r="H337" s="6"/>
    </row>
    <row r="338" spans="1:8" ht="14.1" hidden="1" customHeight="1" outlineLevel="2" x14ac:dyDescent="0.25">
      <c r="A338" s="44"/>
      <c r="D338" s="6"/>
      <c r="E338" s="6"/>
      <c r="F338" s="6"/>
      <c r="G338" s="6"/>
      <c r="H338" s="6"/>
    </row>
    <row r="339" spans="1:8" ht="14.1" hidden="1" customHeight="1" outlineLevel="2" x14ac:dyDescent="0.25">
      <c r="A339" s="44" t="s">
        <v>267</v>
      </c>
      <c r="D339" s="6"/>
      <c r="E339" s="6"/>
      <c r="F339" s="6"/>
      <c r="G339" s="6"/>
      <c r="H339" s="6"/>
    </row>
    <row r="340" spans="1:8" ht="14.1" hidden="1" customHeight="1" outlineLevel="2" x14ac:dyDescent="0.25">
      <c r="D340" s="6"/>
      <c r="E340" s="6"/>
      <c r="F340" s="6"/>
      <c r="G340" s="6"/>
      <c r="H340" s="6"/>
    </row>
    <row r="341" spans="1:8" ht="14.1" hidden="1" customHeight="1" outlineLevel="2" x14ac:dyDescent="0.25">
      <c r="A341" s="44" t="s">
        <v>268</v>
      </c>
      <c r="D341" s="6"/>
      <c r="E341" s="6"/>
      <c r="F341" s="6"/>
      <c r="G341" s="6"/>
      <c r="H341" s="6"/>
    </row>
    <row r="342" spans="1:8" outlineLevel="1" collapsed="1" x14ac:dyDescent="0.25">
      <c r="D342" s="6"/>
      <c r="E342" s="6"/>
      <c r="F342" s="6"/>
      <c r="G342" s="6"/>
      <c r="H342" s="6"/>
    </row>
    <row r="343" spans="1:8" outlineLevel="1" x14ac:dyDescent="0.25">
      <c r="A343" s="44" t="s">
        <v>269</v>
      </c>
      <c r="D343" s="6"/>
      <c r="E343" s="6"/>
      <c r="F343" s="6"/>
      <c r="G343" s="6"/>
      <c r="H343" s="6"/>
    </row>
    <row r="344" spans="1:8" hidden="1" outlineLevel="2" x14ac:dyDescent="0.25">
      <c r="A344" s="44" t="s">
        <v>270</v>
      </c>
      <c r="D344" s="6"/>
      <c r="E344" s="6"/>
      <c r="F344" s="6"/>
      <c r="G344" s="6"/>
      <c r="H344" s="6"/>
    </row>
    <row r="345" spans="1:8" hidden="1" outlineLevel="2" x14ac:dyDescent="0.25">
      <c r="A345" s="2" t="s">
        <v>271</v>
      </c>
      <c r="D345" s="6"/>
      <c r="E345" s="6"/>
      <c r="F345" s="6"/>
      <c r="G345" s="6"/>
      <c r="H345" s="6"/>
    </row>
    <row r="346" spans="1:8" outlineLevel="1" collapsed="1" x14ac:dyDescent="0.25">
      <c r="D346" s="6"/>
      <c r="E346" s="6"/>
      <c r="F346" s="6"/>
      <c r="G346" s="6"/>
      <c r="H346" s="6"/>
    </row>
    <row r="347" spans="1:8" outlineLevel="1" x14ac:dyDescent="0.25">
      <c r="A347" s="44" t="s">
        <v>272</v>
      </c>
      <c r="D347" s="6"/>
      <c r="E347" s="6"/>
      <c r="F347" s="6"/>
      <c r="G347" s="6"/>
      <c r="H347" s="6"/>
    </row>
    <row r="348" spans="1:8" hidden="1" outlineLevel="2" x14ac:dyDescent="0.25">
      <c r="A348" s="44" t="s">
        <v>273</v>
      </c>
      <c r="D348" s="6"/>
      <c r="E348" s="6"/>
      <c r="F348" s="6"/>
      <c r="G348" s="6"/>
      <c r="H348" s="6"/>
    </row>
    <row r="349" spans="1:8" hidden="1" outlineLevel="2" x14ac:dyDescent="0.25">
      <c r="A349" s="2" t="s">
        <v>274</v>
      </c>
      <c r="D349" s="6"/>
      <c r="E349" s="6"/>
      <c r="F349" s="6"/>
      <c r="G349" s="6"/>
      <c r="H349" s="6"/>
    </row>
    <row r="350" spans="1:8" hidden="1" outlineLevel="2" x14ac:dyDescent="0.25">
      <c r="A350" s="2" t="s">
        <v>275</v>
      </c>
      <c r="D350" s="6"/>
      <c r="E350" s="6"/>
      <c r="F350" s="6"/>
      <c r="G350" s="6"/>
      <c r="H350" s="6"/>
    </row>
    <row r="351" spans="1:8" outlineLevel="1" collapsed="1" x14ac:dyDescent="0.25">
      <c r="D351" s="6"/>
      <c r="E351" s="6"/>
      <c r="F351" s="6"/>
      <c r="G351" s="6"/>
      <c r="H351" s="6"/>
    </row>
    <row r="352" spans="1:8" x14ac:dyDescent="0.25">
      <c r="A352" s="22"/>
      <c r="D352" s="6"/>
      <c r="E352" s="6"/>
      <c r="F352" s="6"/>
      <c r="G352" s="6"/>
      <c r="H352" s="6"/>
    </row>
    <row r="353" spans="1:8" x14ac:dyDescent="0.25">
      <c r="A353" s="22" t="s">
        <v>302</v>
      </c>
      <c r="D353" s="6"/>
      <c r="E353" s="6"/>
      <c r="F353" s="6"/>
      <c r="G353" s="6"/>
      <c r="H353" s="6"/>
    </row>
    <row r="354" spans="1:8" x14ac:dyDescent="0.25">
      <c r="A354" s="22" t="s">
        <v>301</v>
      </c>
      <c r="D354" s="6"/>
      <c r="E354" s="8"/>
      <c r="F354" s="8"/>
      <c r="G354" s="6"/>
      <c r="H354" s="6"/>
    </row>
    <row r="355" spans="1:8" x14ac:dyDescent="0.25">
      <c r="A355" s="5"/>
      <c r="B355" s="13"/>
      <c r="C355" s="13">
        <v>2022</v>
      </c>
      <c r="D355" s="19">
        <v>2023</v>
      </c>
      <c r="E355" s="19">
        <v>2024</v>
      </c>
      <c r="F355" s="19">
        <v>2025</v>
      </c>
      <c r="G355" s="19">
        <v>2026</v>
      </c>
      <c r="H355" s="19">
        <v>2027</v>
      </c>
    </row>
    <row r="356" spans="1:8" outlineLevel="1" x14ac:dyDescent="0.25">
      <c r="A356" s="2" t="s">
        <v>168</v>
      </c>
      <c r="C356" s="2">
        <f t="shared" ref="C356:H356" si="104">C127*(1-C47)</f>
        <v>135431872.02048001</v>
      </c>
      <c r="D356" s="2">
        <f t="shared" si="104"/>
        <v>131384126.5152</v>
      </c>
      <c r="E356" s="2">
        <f t="shared" si="104"/>
        <v>134011809.045504</v>
      </c>
      <c r="F356" s="2">
        <f t="shared" si="104"/>
        <v>136692045.22641408</v>
      </c>
      <c r="G356" s="2">
        <f t="shared" si="104"/>
        <v>139425886.13094234</v>
      </c>
      <c r="H356" s="2">
        <f t="shared" si="104"/>
        <v>134749239.24588123</v>
      </c>
    </row>
    <row r="357" spans="1:8" ht="15" customHeight="1" outlineLevel="1" x14ac:dyDescent="0.25">
      <c r="A357" s="2" t="s">
        <v>44</v>
      </c>
      <c r="C357" s="2">
        <f t="shared" ref="C357:H357" si="105">-C126</f>
        <v>15716249.6</v>
      </c>
      <c r="D357" s="2">
        <f t="shared" si="105"/>
        <v>16030574.592000002</v>
      </c>
      <c r="E357" s="2">
        <f t="shared" si="105"/>
        <v>16351186.083839998</v>
      </c>
      <c r="F357" s="2">
        <f t="shared" si="105"/>
        <v>16678209.805516802</v>
      </c>
      <c r="G357" s="2">
        <f t="shared" si="105"/>
        <v>17011774.00162714</v>
      </c>
      <c r="H357" s="2">
        <f t="shared" si="105"/>
        <v>31152009.481659681</v>
      </c>
    </row>
    <row r="358" spans="1:8" ht="15" customHeight="1" outlineLevel="1" x14ac:dyDescent="0.25">
      <c r="A358" s="2" t="s">
        <v>169</v>
      </c>
      <c r="C358" s="2">
        <f>+B361-C361</f>
        <v>-113836931.50684932</v>
      </c>
      <c r="D358" s="2">
        <f>+C361-D361</f>
        <v>-1132799.0958904326</v>
      </c>
      <c r="E358" s="2">
        <f>+D361-E361</f>
        <v>9523654.1976986825</v>
      </c>
      <c r="F358" s="2">
        <f t="shared" ref="F358:H358" si="106">+E361-F361</f>
        <v>-20596061.194126025</v>
      </c>
      <c r="G358" s="2">
        <f t="shared" si="106"/>
        <v>15388995.929037184</v>
      </c>
      <c r="H358" s="2">
        <f t="shared" si="106"/>
        <v>-9534088.5322699696</v>
      </c>
    </row>
    <row r="359" spans="1:8" ht="15" customHeight="1" outlineLevel="1" x14ac:dyDescent="0.25">
      <c r="A359" s="2" t="s">
        <v>170</v>
      </c>
      <c r="B359" s="2">
        <f t="shared" ref="B359:H359" si="107">SUM(B145:B147)</f>
        <v>0</v>
      </c>
      <c r="C359" s="2">
        <f t="shared" si="107"/>
        <v>204862684.93150684</v>
      </c>
      <c r="D359" s="2">
        <f t="shared" si="107"/>
        <v>206903946.80547947</v>
      </c>
      <c r="E359" s="2">
        <f t="shared" si="107"/>
        <v>200088934.26115066</v>
      </c>
      <c r="F359" s="2">
        <f t="shared" si="107"/>
        <v>225696508.7574378</v>
      </c>
      <c r="G359" s="2">
        <f t="shared" si="107"/>
        <v>213519467.58625659</v>
      </c>
      <c r="H359" s="2">
        <f t="shared" si="107"/>
        <v>221745912.97468969</v>
      </c>
    </row>
    <row r="360" spans="1:8" ht="15" customHeight="1" outlineLevel="1" x14ac:dyDescent="0.25">
      <c r="A360" s="2" t="s">
        <v>171</v>
      </c>
      <c r="B360" s="2">
        <f>SUM(B163:B165)+B169</f>
        <v>0</v>
      </c>
      <c r="C360" s="2">
        <f>SUM(C163:C165)+C169</f>
        <v>91025753.424657524</v>
      </c>
      <c r="D360" s="2">
        <f t="shared" ref="D360:H360" si="108">SUM(D163:D165)+D169</f>
        <v>91934216.202739716</v>
      </c>
      <c r="E360" s="2">
        <f t="shared" si="108"/>
        <v>94642857.856109589</v>
      </c>
      <c r="F360" s="2">
        <f t="shared" si="108"/>
        <v>99654371.158270702</v>
      </c>
      <c r="G360" s="2">
        <f t="shared" si="108"/>
        <v>102866325.91612668</v>
      </c>
      <c r="H360" s="2">
        <f t="shared" si="108"/>
        <v>101558682.77228981</v>
      </c>
    </row>
    <row r="361" spans="1:8" ht="15" customHeight="1" outlineLevel="1" x14ac:dyDescent="0.25">
      <c r="A361" s="2" t="s">
        <v>161</v>
      </c>
      <c r="B361" s="2">
        <f>B359-B360</f>
        <v>0</v>
      </c>
      <c r="C361" s="2">
        <f>C359-C360</f>
        <v>113836931.50684932</v>
      </c>
      <c r="D361" s="2">
        <f t="shared" ref="D361:H361" si="109">D359-D360</f>
        <v>114969730.60273975</v>
      </c>
      <c r="E361" s="2">
        <f t="shared" si="109"/>
        <v>105446076.40504107</v>
      </c>
      <c r="F361" s="2">
        <f t="shared" si="109"/>
        <v>126042137.59916709</v>
      </c>
      <c r="G361" s="2">
        <f t="shared" si="109"/>
        <v>110653141.67012991</v>
      </c>
      <c r="H361" s="2">
        <f t="shared" si="109"/>
        <v>120187230.20239988</v>
      </c>
    </row>
    <row r="362" spans="1:8" ht="15" customHeight="1" outlineLevel="1" x14ac:dyDescent="0.25">
      <c r="A362" s="5" t="s">
        <v>172</v>
      </c>
      <c r="B362" s="5"/>
      <c r="C362" s="5">
        <f>SUM(C210:C211)</f>
        <v>-106828800</v>
      </c>
      <c r="D362" s="5">
        <f t="shared" ref="D362:H362" si="110">SUM(D210:D211)</f>
        <v>-3416576</v>
      </c>
      <c r="E362" s="5">
        <f t="shared" si="110"/>
        <v>-3484907.5200000107</v>
      </c>
      <c r="F362" s="5">
        <f t="shared" si="110"/>
        <v>-3554605.6703999937</v>
      </c>
      <c r="G362" s="5">
        <f t="shared" si="110"/>
        <v>-3625697.7838079929</v>
      </c>
      <c r="H362" s="5">
        <f t="shared" si="110"/>
        <v>-153698211.73948419</v>
      </c>
    </row>
    <row r="363" spans="1:8" ht="15" customHeight="1" outlineLevel="1" x14ac:dyDescent="0.25">
      <c r="A363" s="7" t="s">
        <v>173</v>
      </c>
      <c r="B363" s="7">
        <f>SUM(B356:B358)+B362</f>
        <v>0</v>
      </c>
      <c r="C363" s="7">
        <f>SUM(C356:C358)+C362</f>
        <v>-69517609.886369318</v>
      </c>
      <c r="D363" s="7">
        <f t="shared" ref="D363:H363" si="111">SUM(D356:D358)+D362</f>
        <v>142865326.01130956</v>
      </c>
      <c r="E363" s="7">
        <f t="shared" si="111"/>
        <v>156401741.80704266</v>
      </c>
      <c r="F363" s="7">
        <f t="shared" si="111"/>
        <v>129219588.16740488</v>
      </c>
      <c r="G363" s="7">
        <f t="shared" si="111"/>
        <v>168200958.27779868</v>
      </c>
      <c r="H363" s="7">
        <f t="shared" si="111"/>
        <v>2668948.4557867646</v>
      </c>
    </row>
    <row r="364" spans="1:8" ht="15" customHeight="1" outlineLevel="1" x14ac:dyDescent="0.25">
      <c r="A364" s="7"/>
      <c r="B364" s="7"/>
      <c r="C364" s="7"/>
      <c r="D364" s="7"/>
      <c r="E364" s="7"/>
      <c r="F364" s="7"/>
      <c r="G364" s="7"/>
      <c r="H364" s="7"/>
    </row>
    <row r="365" spans="1:8" ht="15" customHeight="1" outlineLevel="1" x14ac:dyDescent="0.25">
      <c r="A365" s="73" t="s">
        <v>174</v>
      </c>
      <c r="B365" s="7"/>
      <c r="C365" s="7">
        <f>SUM(C366:C369)-SUM(C370:C371)</f>
        <v>234451658.88354865</v>
      </c>
      <c r="D365" s="7">
        <f>SUM(D366:D369)-SUM(D370:D371)</f>
        <v>246629692.50689739</v>
      </c>
      <c r="E365" s="7">
        <f t="shared" ref="E365:H365" si="112">SUM(E366:E369)-SUM(E370:E371)</f>
        <v>255747424.69488358</v>
      </c>
      <c r="F365" s="7">
        <f t="shared" si="112"/>
        <v>266537933.17341441</v>
      </c>
      <c r="G365" s="7">
        <f>SUM(G366:G369)-SUM(G370:G371)</f>
        <v>278878344.16391325</v>
      </c>
      <c r="H365" s="7">
        <f t="shared" si="112"/>
        <v>289172145.91393071</v>
      </c>
    </row>
    <row r="366" spans="1:8" ht="15" customHeight="1" outlineLevel="1" x14ac:dyDescent="0.25">
      <c r="A366" s="72" t="s">
        <v>137</v>
      </c>
      <c r="B366" s="7"/>
      <c r="C366" s="7">
        <f t="shared" ref="C366:H369" si="113">-C52*C57</f>
        <v>62476875.529469013</v>
      </c>
      <c r="D366" s="7">
        <f t="shared" si="113"/>
        <v>69089858.641421258</v>
      </c>
      <c r="E366" s="7">
        <f t="shared" si="113"/>
        <v>71544141.290983245</v>
      </c>
      <c r="F366" s="7">
        <f t="shared" si="113"/>
        <v>73603408.968069106</v>
      </c>
      <c r="G366" s="7">
        <f t="shared" si="113"/>
        <v>75075477.14743048</v>
      </c>
      <c r="H366" s="7">
        <f t="shared" si="113"/>
        <v>72557282.670859113</v>
      </c>
    </row>
    <row r="367" spans="1:8" ht="15" customHeight="1" outlineLevel="1" x14ac:dyDescent="0.25">
      <c r="A367" s="72" t="s">
        <v>57</v>
      </c>
      <c r="B367" s="7"/>
      <c r="C367" s="7">
        <f t="shared" si="113"/>
        <v>0</v>
      </c>
      <c r="D367" s="7">
        <f t="shared" si="113"/>
        <v>6523604.5758225685</v>
      </c>
      <c r="E367" s="7">
        <f t="shared" si="113"/>
        <v>12830973.74769252</v>
      </c>
      <c r="F367" s="7">
        <f t="shared" si="113"/>
        <v>19930153.645345338</v>
      </c>
      <c r="G367" s="7">
        <f t="shared" si="113"/>
        <v>27338409.045282818</v>
      </c>
      <c r="H367" s="7">
        <f t="shared" si="113"/>
        <v>34856471.532735586</v>
      </c>
    </row>
    <row r="368" spans="1:8" ht="15" customHeight="1" outlineLevel="1" x14ac:dyDescent="0.25">
      <c r="A368" s="72" t="s">
        <v>138</v>
      </c>
      <c r="B368" s="7"/>
      <c r="C368" s="7">
        <f t="shared" si="113"/>
        <v>7334783.3540796302</v>
      </c>
      <c r="D368" s="7">
        <f t="shared" si="113"/>
        <v>4729829.2896535536</v>
      </c>
      <c r="E368" s="7">
        <f t="shared" si="113"/>
        <v>1760181.6562078302</v>
      </c>
      <c r="F368" s="7">
        <f t="shared" si="113"/>
        <v>0</v>
      </c>
      <c r="G368" s="7">
        <f t="shared" si="113"/>
        <v>0</v>
      </c>
      <c r="H368" s="7">
        <f t="shared" si="113"/>
        <v>0</v>
      </c>
    </row>
    <row r="369" spans="1:8" ht="15" customHeight="1" outlineLevel="1" x14ac:dyDescent="0.25">
      <c r="A369" s="72" t="s">
        <v>139</v>
      </c>
      <c r="B369" s="7"/>
      <c r="C369" s="7">
        <f t="shared" si="113"/>
        <v>164640000</v>
      </c>
      <c r="D369" s="7">
        <f t="shared" si="113"/>
        <v>166286400</v>
      </c>
      <c r="E369" s="7">
        <f t="shared" si="113"/>
        <v>169612128</v>
      </c>
      <c r="F369" s="7">
        <f t="shared" si="113"/>
        <v>173004370.55999997</v>
      </c>
      <c r="G369" s="7">
        <f t="shared" si="113"/>
        <v>176464457.97119999</v>
      </c>
      <c r="H369" s="7">
        <f t="shared" si="113"/>
        <v>181758391.710336</v>
      </c>
    </row>
    <row r="370" spans="1:8" ht="15" customHeight="1" outlineLevel="1" x14ac:dyDescent="0.25">
      <c r="A370" s="72"/>
      <c r="B370" s="7"/>
      <c r="C370" s="7">
        <f t="shared" ref="C370:H371" si="114">C63*C66</f>
        <v>0</v>
      </c>
      <c r="D370" s="7">
        <f t="shared" si="114"/>
        <v>0</v>
      </c>
      <c r="E370" s="7">
        <f t="shared" si="114"/>
        <v>0</v>
      </c>
      <c r="F370" s="7">
        <f t="shared" si="114"/>
        <v>0</v>
      </c>
      <c r="G370" s="7">
        <f t="shared" si="114"/>
        <v>0</v>
      </c>
      <c r="H370" s="7">
        <f t="shared" si="114"/>
        <v>0</v>
      </c>
    </row>
    <row r="371" spans="1:8" ht="15" customHeight="1" outlineLevel="1" x14ac:dyDescent="0.25">
      <c r="A371" s="72"/>
      <c r="B371" s="7"/>
      <c r="C371" s="7">
        <f t="shared" si="114"/>
        <v>0</v>
      </c>
      <c r="D371" s="7">
        <f t="shared" si="114"/>
        <v>0</v>
      </c>
      <c r="E371" s="7">
        <f t="shared" si="114"/>
        <v>0</v>
      </c>
      <c r="F371" s="7">
        <f t="shared" si="114"/>
        <v>0</v>
      </c>
      <c r="G371" s="7">
        <f t="shared" si="114"/>
        <v>0</v>
      </c>
      <c r="H371" s="7">
        <f t="shared" si="114"/>
        <v>0</v>
      </c>
    </row>
    <row r="372" spans="1:8" ht="15" customHeight="1" outlineLevel="1" x14ac:dyDescent="0.25">
      <c r="A372" s="72"/>
      <c r="B372" s="7"/>
      <c r="C372" s="7"/>
      <c r="D372" s="7"/>
      <c r="E372" s="7"/>
      <c r="F372" s="7"/>
      <c r="G372" s="7"/>
      <c r="H372" s="7"/>
    </row>
    <row r="373" spans="1:8" ht="15" customHeight="1" outlineLevel="1" x14ac:dyDescent="0.25">
      <c r="A373" s="76" t="s">
        <v>176</v>
      </c>
      <c r="B373" s="7"/>
      <c r="C373" s="7">
        <f t="shared" ref="C373:H373" si="115">SUM(C374:C376)-SUM(C377:C378)</f>
        <v>102847213.33333334</v>
      </c>
      <c r="D373" s="7">
        <f t="shared" si="115"/>
        <v>104046514.26666668</v>
      </c>
      <c r="E373" s="7">
        <f t="shared" si="115"/>
        <v>106127444.552</v>
      </c>
      <c r="F373" s="7">
        <f t="shared" si="115"/>
        <v>108249993.44304</v>
      </c>
      <c r="G373" s="7">
        <f t="shared" si="115"/>
        <v>110414993.31190081</v>
      </c>
      <c r="H373" s="7">
        <f t="shared" si="115"/>
        <v>128542532.52428363</v>
      </c>
    </row>
    <row r="374" spans="1:8" ht="15" customHeight="1" outlineLevel="1" x14ac:dyDescent="0.25">
      <c r="A374" s="72" t="s">
        <v>145</v>
      </c>
      <c r="B374" s="7"/>
      <c r="C374" s="7">
        <f t="shared" ref="C374:H376" si="116">C72*C76</f>
        <v>17082880</v>
      </c>
      <c r="D374" s="7">
        <f t="shared" si="116"/>
        <v>17424537.600000001</v>
      </c>
      <c r="E374" s="7">
        <f t="shared" si="116"/>
        <v>17773028.352000002</v>
      </c>
      <c r="F374" s="7">
        <f t="shared" si="116"/>
        <v>18128488.919040002</v>
      </c>
      <c r="G374" s="7">
        <f t="shared" si="116"/>
        <v>18491058.697420802</v>
      </c>
      <c r="H374" s="7">
        <f t="shared" si="116"/>
        <v>33860879.87136922</v>
      </c>
    </row>
    <row r="375" spans="1:8" ht="15" customHeight="1" outlineLevel="1" x14ac:dyDescent="0.25">
      <c r="A375" s="72" t="s">
        <v>352</v>
      </c>
      <c r="B375" s="7"/>
      <c r="C375" s="7">
        <f t="shared" si="116"/>
        <v>83333333.333333343</v>
      </c>
      <c r="D375" s="7">
        <f t="shared" si="116"/>
        <v>84166666.666666672</v>
      </c>
      <c r="E375" s="7">
        <f t="shared" si="116"/>
        <v>85850000</v>
      </c>
      <c r="F375" s="7">
        <f t="shared" si="116"/>
        <v>87567000</v>
      </c>
      <c r="G375" s="7">
        <f t="shared" si="116"/>
        <v>89318340</v>
      </c>
      <c r="H375" s="7">
        <f t="shared" si="116"/>
        <v>91997890.200000003</v>
      </c>
    </row>
    <row r="376" spans="1:8" ht="15" customHeight="1" outlineLevel="1" x14ac:dyDescent="0.25">
      <c r="A376" s="72" t="s">
        <v>370</v>
      </c>
      <c r="B376" s="7"/>
      <c r="C376" s="7">
        <f t="shared" si="116"/>
        <v>2431000</v>
      </c>
      <c r="D376" s="7">
        <f t="shared" si="116"/>
        <v>2455310</v>
      </c>
      <c r="E376" s="7">
        <f t="shared" si="116"/>
        <v>2504416.2000000002</v>
      </c>
      <c r="F376" s="7">
        <f t="shared" si="116"/>
        <v>2554504.5240000002</v>
      </c>
      <c r="G376" s="7">
        <f t="shared" si="116"/>
        <v>2605594.6144800005</v>
      </c>
      <c r="H376" s="7">
        <f t="shared" si="116"/>
        <v>2683762.4529144005</v>
      </c>
    </row>
    <row r="377" spans="1:8" ht="15" customHeight="1" outlineLevel="1" x14ac:dyDescent="0.25">
      <c r="A377" s="72"/>
      <c r="B377" s="7"/>
      <c r="C377" s="7">
        <f t="shared" ref="C377:H378" si="117">C81*C84</f>
        <v>0</v>
      </c>
      <c r="D377" s="7">
        <f t="shared" si="117"/>
        <v>0</v>
      </c>
      <c r="E377" s="7">
        <f t="shared" si="117"/>
        <v>0</v>
      </c>
      <c r="F377" s="7">
        <f t="shared" si="117"/>
        <v>0</v>
      </c>
      <c r="G377" s="7">
        <f t="shared" si="117"/>
        <v>0</v>
      </c>
      <c r="H377" s="7">
        <f t="shared" si="117"/>
        <v>0</v>
      </c>
    </row>
    <row r="378" spans="1:8" ht="15" customHeight="1" outlineLevel="1" x14ac:dyDescent="0.25">
      <c r="A378" s="72"/>
      <c r="B378" s="7"/>
      <c r="C378" s="7">
        <f t="shared" si="117"/>
        <v>0</v>
      </c>
      <c r="D378" s="7">
        <f t="shared" si="117"/>
        <v>0</v>
      </c>
      <c r="E378" s="7">
        <f t="shared" si="117"/>
        <v>0</v>
      </c>
      <c r="F378" s="7">
        <f t="shared" si="117"/>
        <v>0</v>
      </c>
      <c r="G378" s="7">
        <f t="shared" si="117"/>
        <v>0</v>
      </c>
      <c r="H378" s="7">
        <f t="shared" si="117"/>
        <v>0</v>
      </c>
    </row>
    <row r="379" spans="1:8" ht="15" customHeight="1" outlineLevel="1" x14ac:dyDescent="0.25">
      <c r="A379" s="76"/>
      <c r="B379" s="7"/>
      <c r="C379" s="7"/>
      <c r="D379" s="7"/>
      <c r="E379" s="7"/>
      <c r="F379" s="7"/>
      <c r="G379" s="7"/>
      <c r="H379" s="7"/>
    </row>
    <row r="380" spans="1:8" ht="15" customHeight="1" outlineLevel="1" x14ac:dyDescent="0.25">
      <c r="A380" s="76" t="s">
        <v>177</v>
      </c>
      <c r="B380" s="7"/>
      <c r="C380" s="7">
        <f>SUM(C381:C385)-SUM(C386:C388)</f>
        <v>492826666.66666663</v>
      </c>
      <c r="D380" s="7">
        <f t="shared" ref="D380:H380" si="118">SUM(D381:D385)-SUM(D386:D388)</f>
        <v>497754933.33333331</v>
      </c>
      <c r="E380" s="7">
        <f t="shared" si="118"/>
        <v>507710032</v>
      </c>
      <c r="F380" s="7">
        <f t="shared" si="118"/>
        <v>517864232.63999999</v>
      </c>
      <c r="G380" s="7">
        <f t="shared" si="118"/>
        <v>528221517.29280001</v>
      </c>
      <c r="H380" s="7">
        <f t="shared" si="118"/>
        <v>544068162.811584</v>
      </c>
    </row>
    <row r="381" spans="1:8" ht="15" customHeight="1" outlineLevel="1" x14ac:dyDescent="0.25">
      <c r="A381" s="72" t="s">
        <v>364</v>
      </c>
      <c r="B381" s="7"/>
      <c r="C381" s="7">
        <f t="shared" ref="C381:H383" si="119">C90*C96</f>
        <v>66666666.666666657</v>
      </c>
      <c r="D381" s="7">
        <f t="shared" si="119"/>
        <v>67333333.333333328</v>
      </c>
      <c r="E381" s="7">
        <f t="shared" si="119"/>
        <v>68680000</v>
      </c>
      <c r="F381" s="7">
        <f t="shared" si="119"/>
        <v>70053600</v>
      </c>
      <c r="G381" s="7">
        <f t="shared" si="119"/>
        <v>71454672</v>
      </c>
      <c r="H381" s="7">
        <f t="shared" si="119"/>
        <v>73598312.159999996</v>
      </c>
    </row>
    <row r="382" spans="1:8" ht="15" customHeight="1" outlineLevel="1" x14ac:dyDescent="0.25">
      <c r="A382" s="72" t="s">
        <v>365</v>
      </c>
      <c r="B382" s="7"/>
      <c r="C382" s="7">
        <f t="shared" si="119"/>
        <v>400000000</v>
      </c>
      <c r="D382" s="7">
        <f t="shared" si="119"/>
        <v>404000000</v>
      </c>
      <c r="E382" s="7">
        <f t="shared" si="119"/>
        <v>412080000</v>
      </c>
      <c r="F382" s="7">
        <f t="shared" si="119"/>
        <v>420321600</v>
      </c>
      <c r="G382" s="7">
        <f t="shared" si="119"/>
        <v>428728032</v>
      </c>
      <c r="H382" s="7">
        <f t="shared" si="119"/>
        <v>441589872.96000004</v>
      </c>
    </row>
    <row r="383" spans="1:8" ht="15" customHeight="1" outlineLevel="1" x14ac:dyDescent="0.25">
      <c r="A383" s="72" t="s">
        <v>367</v>
      </c>
      <c r="B383" s="7"/>
      <c r="C383" s="7">
        <f t="shared" si="119"/>
        <v>1200000</v>
      </c>
      <c r="D383" s="7">
        <f t="shared" si="119"/>
        <v>1212000</v>
      </c>
      <c r="E383" s="7">
        <f t="shared" si="119"/>
        <v>1236240</v>
      </c>
      <c r="F383" s="7">
        <f t="shared" si="119"/>
        <v>1260964.8</v>
      </c>
      <c r="G383" s="7">
        <f t="shared" si="119"/>
        <v>1286184.0960000001</v>
      </c>
      <c r="H383" s="7">
        <f t="shared" si="119"/>
        <v>1324769.6188800002</v>
      </c>
    </row>
    <row r="384" spans="1:8" ht="15" customHeight="1" outlineLevel="1" x14ac:dyDescent="0.25">
      <c r="A384" s="72" t="s">
        <v>371</v>
      </c>
      <c r="B384" s="7"/>
      <c r="C384" s="7">
        <f>C93*C99</f>
        <v>22800000</v>
      </c>
      <c r="D384" s="7">
        <f t="shared" ref="D384:H384" si="120">D93*D99</f>
        <v>23028000</v>
      </c>
      <c r="E384" s="7">
        <f t="shared" si="120"/>
        <v>23488560</v>
      </c>
      <c r="F384" s="7">
        <f t="shared" si="120"/>
        <v>23958331.199999999</v>
      </c>
      <c r="G384" s="7">
        <f t="shared" si="120"/>
        <v>24437497.824000001</v>
      </c>
      <c r="H384" s="7">
        <f t="shared" si="120"/>
        <v>25170622.758720003</v>
      </c>
    </row>
    <row r="385" spans="1:8" ht="15" customHeight="1" outlineLevel="1" x14ac:dyDescent="0.25">
      <c r="A385" s="72" t="s">
        <v>372</v>
      </c>
      <c r="B385" s="7"/>
      <c r="C385" s="7">
        <f>C94*C100</f>
        <v>2160000</v>
      </c>
      <c r="D385" s="7">
        <f t="shared" ref="D385:H385" si="121">D94*D100</f>
        <v>2181600</v>
      </c>
      <c r="E385" s="7">
        <f t="shared" si="121"/>
        <v>2225232</v>
      </c>
      <c r="F385" s="7">
        <f t="shared" si="121"/>
        <v>2269736.64</v>
      </c>
      <c r="G385" s="7">
        <f t="shared" si="121"/>
        <v>2315131.3728</v>
      </c>
      <c r="H385" s="7">
        <f t="shared" si="121"/>
        <v>2384585.3139840001</v>
      </c>
    </row>
    <row r="386" spans="1:8" ht="15" customHeight="1" outlineLevel="1" x14ac:dyDescent="0.25">
      <c r="A386" s="72"/>
      <c r="B386" s="7"/>
      <c r="C386" s="7">
        <f t="shared" ref="C386:H388" si="122">C105*C111</f>
        <v>0</v>
      </c>
      <c r="D386" s="7">
        <f t="shared" si="122"/>
        <v>0</v>
      </c>
      <c r="E386" s="7">
        <f t="shared" si="122"/>
        <v>0</v>
      </c>
      <c r="F386" s="7">
        <f t="shared" si="122"/>
        <v>0</v>
      </c>
      <c r="G386" s="7">
        <f t="shared" si="122"/>
        <v>0</v>
      </c>
      <c r="H386" s="7">
        <f t="shared" si="122"/>
        <v>0</v>
      </c>
    </row>
    <row r="387" spans="1:8" ht="15" customHeight="1" outlineLevel="1" x14ac:dyDescent="0.25">
      <c r="A387" s="72"/>
      <c r="B387" s="7"/>
      <c r="C387" s="7">
        <f t="shared" si="122"/>
        <v>0</v>
      </c>
      <c r="D387" s="7">
        <f t="shared" si="122"/>
        <v>0</v>
      </c>
      <c r="E387" s="7">
        <f t="shared" si="122"/>
        <v>0</v>
      </c>
      <c r="F387" s="7">
        <f t="shared" si="122"/>
        <v>0</v>
      </c>
      <c r="G387" s="7">
        <f t="shared" si="122"/>
        <v>0</v>
      </c>
      <c r="H387" s="7">
        <f t="shared" si="122"/>
        <v>0</v>
      </c>
    </row>
    <row r="388" spans="1:8" ht="15" customHeight="1" outlineLevel="1" x14ac:dyDescent="0.25">
      <c r="A388" s="72"/>
      <c r="B388" s="7"/>
      <c r="C388" s="7">
        <f t="shared" si="122"/>
        <v>0</v>
      </c>
      <c r="D388" s="7">
        <f t="shared" si="122"/>
        <v>0</v>
      </c>
      <c r="E388" s="7">
        <f t="shared" si="122"/>
        <v>0</v>
      </c>
      <c r="F388" s="7">
        <f t="shared" si="122"/>
        <v>0</v>
      </c>
      <c r="G388" s="7">
        <f t="shared" si="122"/>
        <v>0</v>
      </c>
      <c r="H388" s="7">
        <f t="shared" si="122"/>
        <v>0</v>
      </c>
    </row>
    <row r="389" spans="1:8" ht="15" customHeight="1" outlineLevel="1" x14ac:dyDescent="0.25">
      <c r="A389" s="72"/>
      <c r="B389" s="7"/>
      <c r="C389" s="7"/>
      <c r="D389" s="7"/>
      <c r="E389" s="7"/>
      <c r="F389" s="7"/>
      <c r="G389" s="7"/>
      <c r="H389" s="7"/>
    </row>
    <row r="390" spans="1:8" ht="15" customHeight="1" outlineLevel="1" x14ac:dyDescent="0.25">
      <c r="A390" s="76" t="s">
        <v>276</v>
      </c>
      <c r="B390" s="7"/>
      <c r="C390" s="73">
        <f>C365+C373+C380</f>
        <v>830125538.88354862</v>
      </c>
      <c r="D390" s="73">
        <f t="shared" ref="D390:H390" si="123">D365+D373+D380</f>
        <v>848431140.10689735</v>
      </c>
      <c r="E390" s="73">
        <f t="shared" si="123"/>
        <v>869584901.24688363</v>
      </c>
      <c r="F390" s="73">
        <f t="shared" si="123"/>
        <v>892652159.25645447</v>
      </c>
      <c r="G390" s="73">
        <f t="shared" si="123"/>
        <v>917514854.76861405</v>
      </c>
      <c r="H390" s="73">
        <f t="shared" si="123"/>
        <v>961782841.2497983</v>
      </c>
    </row>
    <row r="391" spans="1:8" ht="15" customHeight="1" outlineLevel="1" x14ac:dyDescent="0.25">
      <c r="A391" s="7"/>
      <c r="B391" s="7"/>
      <c r="C391" s="184">
        <f>+C390/C121</f>
        <v>1.3835425648059143</v>
      </c>
      <c r="D391" s="184">
        <f t="shared" ref="D391:H391" si="124">+D390/D121</f>
        <v>1.4000513863150121</v>
      </c>
      <c r="E391" s="184">
        <f t="shared" si="124"/>
        <v>1.406822140113382</v>
      </c>
      <c r="F391" s="184">
        <f t="shared" si="124"/>
        <v>1.4158240725775286</v>
      </c>
      <c r="G391" s="184">
        <f t="shared" si="124"/>
        <v>1.4267239932791302</v>
      </c>
      <c r="H391" s="184">
        <f t="shared" si="124"/>
        <v>1.4520001478640767</v>
      </c>
    </row>
    <row r="392" spans="1:8" ht="15" customHeight="1" outlineLevel="2" x14ac:dyDescent="0.25">
      <c r="A392" s="7"/>
      <c r="B392" s="7"/>
      <c r="C392" s="7"/>
      <c r="D392" s="7"/>
      <c r="E392" s="24"/>
      <c r="F392" s="24"/>
      <c r="G392" s="24"/>
      <c r="H392" s="24"/>
    </row>
    <row r="393" spans="1:8" ht="15" customHeight="1" outlineLevel="2" x14ac:dyDescent="0.25">
      <c r="A393" s="7" t="s">
        <v>178</v>
      </c>
      <c r="B393" s="7"/>
      <c r="C393" s="7"/>
      <c r="D393" s="7"/>
      <c r="E393" s="7"/>
      <c r="F393" s="7"/>
      <c r="G393" s="7"/>
      <c r="H393" s="7"/>
    </row>
    <row r="394" spans="1:8" ht="15" customHeight="1" outlineLevel="2" x14ac:dyDescent="0.25">
      <c r="A394" s="2" t="s">
        <v>179</v>
      </c>
      <c r="C394" s="2">
        <f t="shared" ref="C394:H394" si="125">C217</f>
        <v>-4959780.5040286463</v>
      </c>
      <c r="D394" s="2">
        <f t="shared" si="125"/>
        <v>-3074389.0382748102</v>
      </c>
      <c r="E394" s="2">
        <f t="shared" si="125"/>
        <v>-1144118.0765350896</v>
      </c>
      <c r="F394" s="2">
        <f t="shared" si="125"/>
        <v>0</v>
      </c>
      <c r="G394" s="2">
        <f t="shared" si="125"/>
        <v>0</v>
      </c>
      <c r="H394" s="2">
        <f t="shared" si="125"/>
        <v>0</v>
      </c>
    </row>
    <row r="395" spans="1:8" ht="15" customHeight="1" outlineLevel="2" x14ac:dyDescent="0.25">
      <c r="A395" s="5" t="s">
        <v>180</v>
      </c>
      <c r="B395" s="5"/>
      <c r="C395" s="5">
        <f t="shared" ref="C395:H395" si="126">C218+C216</f>
        <v>-114777214.27089578</v>
      </c>
      <c r="D395" s="5">
        <f t="shared" si="126"/>
        <v>-21211768.810326777</v>
      </c>
      <c r="E395" s="5">
        <f t="shared" si="126"/>
        <v>-24181416.443772532</v>
      </c>
      <c r="F395" s="5">
        <f t="shared" si="126"/>
        <v>0</v>
      </c>
      <c r="G395" s="5">
        <f t="shared" si="126"/>
        <v>0</v>
      </c>
      <c r="H395" s="5">
        <f t="shared" si="126"/>
        <v>0</v>
      </c>
    </row>
    <row r="396" spans="1:8" ht="15" customHeight="1" outlineLevel="2" x14ac:dyDescent="0.25">
      <c r="A396" s="7" t="s">
        <v>181</v>
      </c>
      <c r="B396" s="7"/>
      <c r="C396" s="7">
        <f>SUM(C394:C395)</f>
        <v>-119736994.77492443</v>
      </c>
      <c r="D396" s="7">
        <f>SUM(D394:D395)</f>
        <v>-24286157.848601587</v>
      </c>
      <c r="E396" s="7">
        <f t="shared" ref="E396:H396" si="127">SUM(E394:E395)</f>
        <v>-25325534.520307623</v>
      </c>
      <c r="F396" s="7">
        <f t="shared" si="127"/>
        <v>0</v>
      </c>
      <c r="G396" s="7">
        <f t="shared" si="127"/>
        <v>0</v>
      </c>
      <c r="H396" s="7">
        <f t="shared" si="127"/>
        <v>0</v>
      </c>
    </row>
    <row r="397" spans="1:8" ht="15" customHeight="1" outlineLevel="2" x14ac:dyDescent="0.25">
      <c r="A397" s="7"/>
      <c r="B397" s="7"/>
      <c r="C397" s="7"/>
      <c r="D397" s="7"/>
      <c r="E397" s="7"/>
      <c r="F397" s="7"/>
      <c r="G397" s="7"/>
      <c r="H397" s="7"/>
    </row>
    <row r="398" spans="1:8" ht="15" customHeight="1" outlineLevel="2" x14ac:dyDescent="0.25">
      <c r="A398" s="2" t="s">
        <v>182</v>
      </c>
      <c r="B398" s="7"/>
      <c r="C398" s="7">
        <f t="shared" ref="C398:H399" si="128">C208</f>
        <v>0</v>
      </c>
      <c r="D398" s="7">
        <f t="shared" si="128"/>
        <v>0</v>
      </c>
      <c r="E398" s="7">
        <f t="shared" si="128"/>
        <v>0</v>
      </c>
      <c r="F398" s="7">
        <f t="shared" si="128"/>
        <v>0</v>
      </c>
      <c r="G398" s="7">
        <f t="shared" si="128"/>
        <v>0</v>
      </c>
      <c r="H398" s="7">
        <f t="shared" si="128"/>
        <v>0</v>
      </c>
    </row>
    <row r="399" spans="1:8" ht="15" customHeight="1" outlineLevel="2" x14ac:dyDescent="0.25">
      <c r="A399" s="2" t="s">
        <v>50</v>
      </c>
      <c r="B399" s="7"/>
      <c r="C399" s="5">
        <f t="shared" si="128"/>
        <v>0</v>
      </c>
      <c r="D399" s="5">
        <f t="shared" si="128"/>
        <v>0</v>
      </c>
      <c r="E399" s="5">
        <f t="shared" si="128"/>
        <v>0</v>
      </c>
      <c r="F399" s="5">
        <f t="shared" si="128"/>
        <v>0</v>
      </c>
      <c r="G399" s="5">
        <f t="shared" si="128"/>
        <v>0</v>
      </c>
      <c r="H399" s="5">
        <f t="shared" si="128"/>
        <v>0</v>
      </c>
    </row>
    <row r="400" spans="1:8" ht="15" customHeight="1" outlineLevel="2" x14ac:dyDescent="0.25">
      <c r="A400" s="7" t="s">
        <v>183</v>
      </c>
      <c r="B400" s="7"/>
      <c r="C400" s="7">
        <f>SUM(C398:C399)</f>
        <v>0</v>
      </c>
      <c r="D400" s="7">
        <f t="shared" ref="D400:H400" si="129">SUM(D398:D399)</f>
        <v>0</v>
      </c>
      <c r="E400" s="7">
        <f t="shared" si="129"/>
        <v>0</v>
      </c>
      <c r="F400" s="7">
        <f t="shared" si="129"/>
        <v>0</v>
      </c>
      <c r="G400" s="7">
        <f t="shared" si="129"/>
        <v>0</v>
      </c>
      <c r="H400" s="7">
        <f t="shared" si="129"/>
        <v>0</v>
      </c>
    </row>
    <row r="401" spans="1:9" ht="15" customHeight="1" outlineLevel="2" x14ac:dyDescent="0.25">
      <c r="B401" s="7"/>
    </row>
    <row r="402" spans="1:9" ht="15" customHeight="1" outlineLevel="2" x14ac:dyDescent="0.25">
      <c r="A402" s="7" t="s">
        <v>184</v>
      </c>
      <c r="C402" s="7">
        <f t="shared" ref="C402:H402" si="130">C363+C396+C400</f>
        <v>-189254604.66129375</v>
      </c>
      <c r="D402" s="7">
        <f t="shared" si="130"/>
        <v>118579168.16270798</v>
      </c>
      <c r="E402" s="7">
        <f t="shared" si="130"/>
        <v>131076207.28673503</v>
      </c>
      <c r="F402" s="7">
        <f t="shared" si="130"/>
        <v>129219588.16740488</v>
      </c>
      <c r="G402" s="7">
        <f t="shared" si="130"/>
        <v>168200958.27779868</v>
      </c>
      <c r="H402" s="7">
        <f t="shared" si="130"/>
        <v>2668948.4557867646</v>
      </c>
    </row>
    <row r="403" spans="1:9" ht="15" customHeight="1" outlineLevel="2" x14ac:dyDescent="0.25">
      <c r="A403" s="2" t="s">
        <v>185</v>
      </c>
      <c r="C403" s="2">
        <f t="shared" ref="C403:H403" si="131">C176-B176</f>
        <v>0</v>
      </c>
      <c r="D403" s="2">
        <f t="shared" si="131"/>
        <v>0</v>
      </c>
      <c r="E403" s="2">
        <f t="shared" si="131"/>
        <v>0</v>
      </c>
      <c r="F403" s="2">
        <f t="shared" si="131"/>
        <v>0</v>
      </c>
      <c r="G403" s="2">
        <f t="shared" si="131"/>
        <v>0</v>
      </c>
      <c r="H403" s="2">
        <f t="shared" si="131"/>
        <v>0</v>
      </c>
    </row>
    <row r="404" spans="1:9" ht="15" customHeight="1" outlineLevel="2" x14ac:dyDescent="0.25">
      <c r="A404" s="5" t="s">
        <v>57</v>
      </c>
      <c r="B404" s="5"/>
      <c r="C404" s="5">
        <f t="shared" ref="C404:H404" si="132">C220</f>
        <v>0</v>
      </c>
      <c r="D404" s="5">
        <f t="shared" si="132"/>
        <v>-6523604.5758225685</v>
      </c>
      <c r="E404" s="5">
        <f t="shared" si="132"/>
        <v>-12830973.74769252</v>
      </c>
      <c r="F404" s="5">
        <f t="shared" si="132"/>
        <v>-19930153.645345338</v>
      </c>
      <c r="G404" s="5">
        <f t="shared" si="132"/>
        <v>-27338409.045282818</v>
      </c>
      <c r="H404" s="5">
        <f t="shared" si="132"/>
        <v>-34856471.532735586</v>
      </c>
    </row>
    <row r="405" spans="1:9" ht="15" customHeight="1" outlineLevel="2" x14ac:dyDescent="0.25">
      <c r="A405" s="7" t="s">
        <v>186</v>
      </c>
      <c r="C405" s="2">
        <f>SUM(C402:C404)</f>
        <v>-189254604.66129375</v>
      </c>
      <c r="D405" s="2">
        <f t="shared" ref="D405:H405" si="133">SUM(D402:D404)</f>
        <v>112055563.58688542</v>
      </c>
      <c r="E405" s="2">
        <f t="shared" si="133"/>
        <v>118245233.5390425</v>
      </c>
      <c r="F405" s="2">
        <f t="shared" si="133"/>
        <v>109289434.52205953</v>
      </c>
      <c r="G405" s="2">
        <f t="shared" si="133"/>
        <v>140862549.23251587</v>
      </c>
      <c r="H405" s="2">
        <f t="shared" si="133"/>
        <v>-32187523.076948822</v>
      </c>
    </row>
    <row r="406" spans="1:9" ht="15" customHeight="1" outlineLevel="2" x14ac:dyDescent="0.25">
      <c r="A406" s="5" t="s">
        <v>187</v>
      </c>
      <c r="B406" s="5"/>
      <c r="C406" s="5">
        <f>B143</f>
        <v>96170399.524995089</v>
      </c>
      <c r="D406" s="5">
        <f>C407</f>
        <v>-93084205.136298656</v>
      </c>
      <c r="E406" s="5">
        <f t="shared" ref="E406:H406" si="134">D407</f>
        <v>18971358.450586766</v>
      </c>
      <c r="F406" s="5">
        <f t="shared" si="134"/>
        <v>137216591.98962927</v>
      </c>
      <c r="G406" s="5">
        <f t="shared" si="134"/>
        <v>246506026.5116888</v>
      </c>
      <c r="H406" s="5">
        <f t="shared" si="134"/>
        <v>387368575.74420464</v>
      </c>
    </row>
    <row r="407" spans="1:9" ht="15" customHeight="1" outlineLevel="2" x14ac:dyDescent="0.25">
      <c r="A407" s="7" t="s">
        <v>188</v>
      </c>
      <c r="B407" s="7"/>
      <c r="C407" s="7">
        <f>C405+C406</f>
        <v>-93084205.136298656</v>
      </c>
      <c r="D407" s="7">
        <f t="shared" ref="D407:H407" si="135">D405+D406</f>
        <v>18971358.450586766</v>
      </c>
      <c r="E407" s="7">
        <f t="shared" si="135"/>
        <v>137216591.98962927</v>
      </c>
      <c r="F407" s="7">
        <f t="shared" si="135"/>
        <v>246506026.5116888</v>
      </c>
      <c r="G407" s="7">
        <f t="shared" si="135"/>
        <v>387368575.74420464</v>
      </c>
      <c r="H407" s="7">
        <f t="shared" si="135"/>
        <v>355181052.66725582</v>
      </c>
    </row>
    <row r="408" spans="1:9" ht="15" customHeight="1" outlineLevel="2" x14ac:dyDescent="0.25">
      <c r="A408" s="50" t="s">
        <v>189</v>
      </c>
      <c r="B408" s="7"/>
      <c r="C408" s="7">
        <f t="shared" ref="C408:H408" si="136">C407-C143</f>
        <v>0</v>
      </c>
      <c r="D408" s="7">
        <f t="shared" si="136"/>
        <v>0</v>
      </c>
      <c r="E408" s="7">
        <f t="shared" si="136"/>
        <v>0</v>
      </c>
      <c r="F408" s="7">
        <f t="shared" si="136"/>
        <v>0</v>
      </c>
      <c r="G408" s="7">
        <f t="shared" si="136"/>
        <v>0</v>
      </c>
      <c r="H408" s="7">
        <f t="shared" si="136"/>
        <v>0</v>
      </c>
    </row>
    <row r="409" spans="1:9" ht="15" customHeight="1" outlineLevel="1" x14ac:dyDescent="0.25">
      <c r="A409" s="7"/>
      <c r="B409" s="7"/>
      <c r="C409" s="7"/>
      <c r="D409" s="7"/>
      <c r="E409" s="60"/>
      <c r="F409" s="60"/>
      <c r="G409" s="60"/>
      <c r="H409" s="60"/>
    </row>
    <row r="410" spans="1:9" ht="15" customHeight="1" outlineLevel="1" x14ac:dyDescent="0.25">
      <c r="A410" s="2" t="s">
        <v>190</v>
      </c>
      <c r="B410" s="7"/>
      <c r="C410" s="15"/>
      <c r="D410" s="15"/>
      <c r="E410" s="15"/>
      <c r="F410" s="15"/>
      <c r="G410" s="15"/>
      <c r="H410" s="15">
        <f>(H363*(1+B415)/(B417-B415))</f>
        <v>20940980.191557694</v>
      </c>
      <c r="I410" s="69">
        <f>+H363/H410</f>
        <v>0.12745098039215685</v>
      </c>
    </row>
    <row r="411" spans="1:9" ht="15" customHeight="1" outlineLevel="1" x14ac:dyDescent="0.25">
      <c r="A411" s="7"/>
      <c r="B411" s="7"/>
      <c r="C411" s="7"/>
      <c r="D411" s="7"/>
      <c r="E411" s="7"/>
      <c r="F411" s="7"/>
      <c r="G411" s="7"/>
      <c r="H411" s="7"/>
    </row>
    <row r="412" spans="1:9" ht="15" customHeight="1" outlineLevel="1" thickBot="1" x14ac:dyDescent="0.3">
      <c r="A412" s="7" t="s">
        <v>191</v>
      </c>
      <c r="B412" s="7"/>
      <c r="C412" s="12">
        <f>C363+C410</f>
        <v>-69517609.886369318</v>
      </c>
      <c r="D412" s="12">
        <f>D363+D410</f>
        <v>142865326.01130956</v>
      </c>
      <c r="E412" s="12">
        <f t="shared" ref="E412:G412" si="137">E363+E410</f>
        <v>156401741.80704266</v>
      </c>
      <c r="F412" s="12">
        <f t="shared" si="137"/>
        <v>129219588.16740488</v>
      </c>
      <c r="G412" s="12">
        <f t="shared" si="137"/>
        <v>168200958.27779868</v>
      </c>
      <c r="H412" s="12">
        <f>H363+H410</f>
        <v>23609928.647344459</v>
      </c>
    </row>
    <row r="413" spans="1:9" ht="15" customHeight="1" outlineLevel="1" thickTop="1" x14ac:dyDescent="0.25">
      <c r="A413" s="7"/>
      <c r="B413" s="7"/>
      <c r="C413" s="7"/>
      <c r="D413" s="7"/>
      <c r="E413" s="7"/>
      <c r="F413" s="7"/>
      <c r="G413" s="7"/>
      <c r="H413" s="7"/>
    </row>
    <row r="414" spans="1:9" ht="15.75" customHeight="1" outlineLevel="1" x14ac:dyDescent="0.25">
      <c r="A414" s="7"/>
      <c r="B414" s="7"/>
      <c r="C414" s="7"/>
      <c r="D414" s="7"/>
      <c r="E414" s="7"/>
      <c r="F414" s="7"/>
      <c r="G414" s="7"/>
      <c r="H414" s="7"/>
    </row>
    <row r="415" spans="1:9" ht="15.75" customHeight="1" outlineLevel="1" x14ac:dyDescent="0.25">
      <c r="A415" s="2" t="s">
        <v>192</v>
      </c>
      <c r="B415" s="37">
        <v>0.02</v>
      </c>
      <c r="C415" s="7"/>
      <c r="D415" s="7"/>
      <c r="E415" s="7"/>
      <c r="F415" s="7"/>
      <c r="G415" s="7"/>
      <c r="H415" s="7"/>
    </row>
    <row r="416" spans="1:9" ht="15" customHeight="1" outlineLevel="1" thickBot="1" x14ac:dyDescent="0.3">
      <c r="B416" s="7"/>
      <c r="C416" s="7"/>
      <c r="D416" s="7"/>
      <c r="E416" s="7"/>
      <c r="F416" s="7"/>
      <c r="G416" s="7"/>
      <c r="H416" s="7"/>
    </row>
    <row r="417" spans="1:9" ht="15" customHeight="1" outlineLevel="1" thickBot="1" x14ac:dyDescent="0.3">
      <c r="A417" s="26" t="s">
        <v>193</v>
      </c>
      <c r="B417" s="78">
        <v>0.15</v>
      </c>
      <c r="C417" s="7"/>
      <c r="D417" s="7"/>
      <c r="E417" s="57"/>
      <c r="F417" s="7"/>
      <c r="G417" s="7"/>
      <c r="H417" s="7"/>
      <c r="I417" s="128"/>
    </row>
    <row r="418" spans="1:9" ht="15" customHeight="1" outlineLevel="1" thickBot="1" x14ac:dyDescent="0.3">
      <c r="A418" s="77" t="s">
        <v>194</v>
      </c>
      <c r="B418" s="79">
        <f>B417</f>
        <v>0.15</v>
      </c>
      <c r="C418" s="7"/>
      <c r="D418" s="7"/>
      <c r="E418" s="57"/>
      <c r="F418" s="7"/>
      <c r="G418" s="7"/>
      <c r="H418" s="7"/>
      <c r="I418" s="128"/>
    </row>
    <row r="419" spans="1:9" ht="15.75" customHeight="1" outlineLevel="1" x14ac:dyDescent="0.25">
      <c r="A419" s="7"/>
      <c r="B419" s="32"/>
      <c r="C419" s="7"/>
      <c r="D419" s="7"/>
      <c r="E419" s="58"/>
      <c r="F419" s="7"/>
      <c r="G419" s="7"/>
      <c r="H419" s="7"/>
    </row>
    <row r="420" spans="1:9" ht="15.75" customHeight="1" outlineLevel="2" x14ac:dyDescent="0.25">
      <c r="A420" s="7" t="s">
        <v>195</v>
      </c>
      <c r="B420" s="32"/>
      <c r="C420" s="7"/>
      <c r="D420" s="7"/>
      <c r="E420" s="58"/>
      <c r="F420" s="7"/>
      <c r="G420" s="7"/>
      <c r="H420" s="7"/>
    </row>
    <row r="421" spans="1:9" ht="15" customHeight="1" outlineLevel="2" x14ac:dyDescent="0.25">
      <c r="A421" s="2" t="s">
        <v>196</v>
      </c>
      <c r="B421" s="37">
        <v>0.08</v>
      </c>
      <c r="C421" s="7"/>
      <c r="D421" s="7"/>
      <c r="E421" s="7"/>
      <c r="F421" s="7"/>
      <c r="G421" s="7"/>
      <c r="H421" s="7"/>
    </row>
    <row r="422" spans="1:9" ht="15" customHeight="1" outlineLevel="2" x14ac:dyDescent="0.25">
      <c r="A422" s="2" t="s">
        <v>197</v>
      </c>
      <c r="B422" s="33">
        <f>D47</f>
        <v>0.35</v>
      </c>
      <c r="C422" s="7"/>
      <c r="D422" s="7"/>
      <c r="E422" s="7"/>
      <c r="F422" s="7"/>
      <c r="G422" s="7"/>
      <c r="H422" s="7"/>
    </row>
    <row r="423" spans="1:9" ht="15" customHeight="1" outlineLevel="2" x14ac:dyDescent="0.25">
      <c r="A423" s="2" t="s">
        <v>198</v>
      </c>
      <c r="B423" s="34">
        <v>0.3</v>
      </c>
      <c r="C423" s="7"/>
      <c r="D423" s="7"/>
      <c r="E423" s="7"/>
      <c r="F423" s="7"/>
      <c r="G423" s="7"/>
      <c r="H423" s="7"/>
    </row>
    <row r="424" spans="1:9" ht="15" customHeight="1" outlineLevel="2" x14ac:dyDescent="0.25">
      <c r="B424" s="33"/>
      <c r="C424" s="7"/>
      <c r="D424" s="7"/>
      <c r="E424" s="7"/>
      <c r="F424" s="7"/>
      <c r="G424" s="7"/>
      <c r="H424" s="7"/>
    </row>
    <row r="425" spans="1:9" ht="15" customHeight="1" outlineLevel="2" x14ac:dyDescent="0.25">
      <c r="A425" s="2" t="s">
        <v>199</v>
      </c>
      <c r="B425" s="37">
        <v>0.03</v>
      </c>
      <c r="C425" s="7" t="s">
        <v>200</v>
      </c>
      <c r="E425" s="7"/>
      <c r="F425" s="7"/>
      <c r="G425" s="7"/>
      <c r="H425" s="7"/>
    </row>
    <row r="426" spans="1:9" ht="15" customHeight="1" outlineLevel="2" x14ac:dyDescent="0.25">
      <c r="A426" s="2" t="s">
        <v>201</v>
      </c>
      <c r="B426" s="37">
        <v>5.45105329122125E-2</v>
      </c>
      <c r="C426" s="7" t="s">
        <v>200</v>
      </c>
      <c r="E426" s="7"/>
      <c r="F426" s="7"/>
      <c r="G426" s="7"/>
      <c r="H426" s="7"/>
    </row>
    <row r="427" spans="1:9" ht="15" customHeight="1" outlineLevel="2" x14ac:dyDescent="0.25">
      <c r="A427" s="2" t="s">
        <v>202</v>
      </c>
      <c r="B427" s="61">
        <v>2.17</v>
      </c>
      <c r="C427" s="7"/>
      <c r="E427" s="7"/>
      <c r="F427" s="7"/>
      <c r="G427" s="7"/>
      <c r="H427" s="7"/>
    </row>
    <row r="428" spans="1:9" ht="15" customHeight="1" outlineLevel="2" x14ac:dyDescent="0.25">
      <c r="A428" s="2" t="s">
        <v>203</v>
      </c>
      <c r="B428" s="39">
        <f>B425+B426*B427</f>
        <v>0.14828785641950112</v>
      </c>
      <c r="C428" s="7" t="s">
        <v>200</v>
      </c>
      <c r="D428" s="38"/>
      <c r="E428" s="36"/>
      <c r="F428" s="59"/>
      <c r="G428" s="7"/>
      <c r="H428" s="7"/>
    </row>
    <row r="429" spans="1:9" ht="15" customHeight="1" outlineLevel="2" x14ac:dyDescent="0.25">
      <c r="B429" s="39"/>
      <c r="C429" s="7"/>
      <c r="E429" s="39"/>
      <c r="F429" s="7"/>
      <c r="G429" s="7"/>
      <c r="H429" s="7"/>
    </row>
    <row r="430" spans="1:9" ht="15" customHeight="1" outlineLevel="2" x14ac:dyDescent="0.25">
      <c r="A430" s="7" t="s">
        <v>204</v>
      </c>
      <c r="B430" s="35"/>
      <c r="C430" s="7"/>
      <c r="E430" s="7"/>
      <c r="F430" s="7"/>
      <c r="G430" s="7"/>
      <c r="H430" s="7"/>
    </row>
    <row r="431" spans="1:9" ht="15" customHeight="1" outlineLevel="2" x14ac:dyDescent="0.25">
      <c r="A431" s="2" t="s">
        <v>205</v>
      </c>
      <c r="B431" s="41">
        <v>0.02</v>
      </c>
      <c r="C431" s="7"/>
      <c r="E431" s="7"/>
      <c r="F431" s="7"/>
      <c r="G431" s="7"/>
      <c r="H431" s="7"/>
    </row>
    <row r="432" spans="1:9" ht="15" customHeight="1" outlineLevel="2" x14ac:dyDescent="0.25">
      <c r="A432" s="2" t="s">
        <v>206</v>
      </c>
      <c r="B432" s="41">
        <v>0</v>
      </c>
      <c r="C432" s="7"/>
      <c r="D432" s="21"/>
      <c r="E432" s="7"/>
      <c r="F432" s="7"/>
      <c r="G432" s="7"/>
      <c r="H432" s="7"/>
    </row>
    <row r="433" spans="1:11" ht="15" customHeight="1" outlineLevel="2" x14ac:dyDescent="0.25">
      <c r="A433" s="2" t="s">
        <v>207</v>
      </c>
      <c r="B433" s="41">
        <v>0</v>
      </c>
      <c r="C433" s="7"/>
      <c r="E433" s="7"/>
      <c r="F433" s="7"/>
      <c r="G433" s="7"/>
      <c r="H433" s="7"/>
    </row>
    <row r="434" spans="1:11" ht="15" customHeight="1" outlineLevel="2" x14ac:dyDescent="0.25">
      <c r="A434" s="2" t="s">
        <v>208</v>
      </c>
      <c r="B434" s="66">
        <v>0</v>
      </c>
      <c r="C434" s="7"/>
      <c r="E434" s="7"/>
      <c r="F434" s="7"/>
      <c r="G434" s="7"/>
      <c r="H434" s="7"/>
    </row>
    <row r="435" spans="1:11" ht="15" customHeight="1" outlineLevel="2" x14ac:dyDescent="0.25">
      <c r="A435" s="2" t="s">
        <v>209</v>
      </c>
      <c r="B435" s="66">
        <v>1.4999999999999999E-2</v>
      </c>
      <c r="C435" s="7"/>
      <c r="E435" s="7"/>
      <c r="F435" s="7"/>
      <c r="G435" s="7"/>
      <c r="H435" s="7"/>
    </row>
    <row r="436" spans="1:11" ht="15" customHeight="1" outlineLevel="2" x14ac:dyDescent="0.25">
      <c r="A436" s="2" t="s">
        <v>210</v>
      </c>
      <c r="B436" s="66">
        <v>3.4000000000000002E-2</v>
      </c>
      <c r="C436" s="7"/>
      <c r="E436" s="7"/>
      <c r="F436" s="7"/>
      <c r="G436" s="7"/>
      <c r="H436" s="7"/>
    </row>
    <row r="437" spans="1:11" ht="15" customHeight="1" outlineLevel="2" x14ac:dyDescent="0.25">
      <c r="B437" s="40"/>
      <c r="C437" s="7"/>
      <c r="E437" s="7"/>
      <c r="F437" s="7"/>
      <c r="G437" s="7"/>
      <c r="H437" s="7"/>
    </row>
    <row r="438" spans="1:11" ht="15" customHeight="1" outlineLevel="2" x14ac:dyDescent="0.25">
      <c r="A438" s="2" t="s">
        <v>211</v>
      </c>
      <c r="B438" s="38">
        <f>(1+B428)*(1+B431)*(1+B432)*(1+B433)*(1+B434)*(1+B436)/(1+B435)-1</f>
        <v>0.19317855803795059</v>
      </c>
      <c r="C438" s="7" t="s">
        <v>212</v>
      </c>
      <c r="E438" s="7"/>
      <c r="F438" s="7"/>
      <c r="G438" s="7"/>
      <c r="H438" s="7"/>
    </row>
    <row r="439" spans="1:11" ht="15" customHeight="1" outlineLevel="2" x14ac:dyDescent="0.25">
      <c r="A439" s="2" t="s">
        <v>213</v>
      </c>
      <c r="B439" s="69">
        <f>1-B423</f>
        <v>0.7</v>
      </c>
      <c r="C439" s="7"/>
      <c r="D439" s="7"/>
      <c r="E439" s="7"/>
      <c r="F439" s="7"/>
      <c r="G439" s="7"/>
      <c r="H439" s="7"/>
    </row>
    <row r="440" spans="1:11" ht="15" customHeight="1" outlineLevel="1" x14ac:dyDescent="0.25">
      <c r="B440" s="69"/>
      <c r="C440" s="7"/>
      <c r="D440" s="7"/>
      <c r="E440" s="7"/>
      <c r="F440" s="7"/>
      <c r="G440" s="7"/>
      <c r="H440" s="7"/>
    </row>
    <row r="441" spans="1:11" ht="15" customHeight="1" outlineLevel="1" x14ac:dyDescent="0.25">
      <c r="B441" s="69"/>
      <c r="C441" s="7"/>
      <c r="D441" s="7"/>
      <c r="E441" s="7"/>
      <c r="F441" s="7"/>
      <c r="G441" s="7"/>
      <c r="H441" s="7"/>
    </row>
    <row r="442" spans="1:11" ht="15" customHeight="1" outlineLevel="1" x14ac:dyDescent="0.25">
      <c r="A442" s="127" t="s">
        <v>303</v>
      </c>
      <c r="B442" s="124"/>
      <c r="C442" s="125">
        <v>2022</v>
      </c>
      <c r="D442" s="126">
        <v>2023</v>
      </c>
      <c r="E442" s="126">
        <v>2024</v>
      </c>
      <c r="F442" s="126">
        <v>2025</v>
      </c>
      <c r="G442" s="126">
        <v>2026</v>
      </c>
      <c r="H442" s="126">
        <v>2027</v>
      </c>
    </row>
    <row r="443" spans="1:11" ht="15" customHeight="1" outlineLevel="2" x14ac:dyDescent="0.25">
      <c r="A443" s="110" t="s">
        <v>173</v>
      </c>
      <c r="B443" s="112"/>
      <c r="C443" s="112">
        <f>C363</f>
        <v>-69517609.886369318</v>
      </c>
      <c r="D443" s="112">
        <f t="shared" ref="D443:H443" si="138">D363</f>
        <v>142865326.01130956</v>
      </c>
      <c r="E443" s="112">
        <f t="shared" si="138"/>
        <v>156401741.80704266</v>
      </c>
      <c r="F443" s="112">
        <f t="shared" si="138"/>
        <v>129219588.16740488</v>
      </c>
      <c r="G443" s="112">
        <f t="shared" si="138"/>
        <v>168200958.27779868</v>
      </c>
      <c r="H443" s="112">
        <f t="shared" si="138"/>
        <v>2668948.4557867646</v>
      </c>
    </row>
    <row r="444" spans="1:11" ht="15" customHeight="1" outlineLevel="2" x14ac:dyDescent="0.25">
      <c r="A444" s="110"/>
      <c r="B444" s="110"/>
      <c r="C444" s="112"/>
      <c r="D444" s="112"/>
      <c r="E444" s="112"/>
      <c r="F444" s="112"/>
      <c r="G444" s="112"/>
      <c r="H444" s="112"/>
      <c r="I444" s="7"/>
      <c r="J444" s="2"/>
      <c r="K444" s="85"/>
    </row>
    <row r="445" spans="1:11" ht="15" customHeight="1" outlineLevel="2" x14ac:dyDescent="0.25">
      <c r="A445" s="110" t="s">
        <v>214</v>
      </c>
      <c r="B445" s="110"/>
      <c r="C445" s="112">
        <f>C365</f>
        <v>234451658.88354865</v>
      </c>
      <c r="D445" s="112">
        <f t="shared" ref="D445:H445" si="139">D365</f>
        <v>246629692.50689739</v>
      </c>
      <c r="E445" s="112">
        <f t="shared" si="139"/>
        <v>255747424.69488358</v>
      </c>
      <c r="F445" s="112">
        <f t="shared" si="139"/>
        <v>266537933.17341441</v>
      </c>
      <c r="G445" s="112">
        <f t="shared" si="139"/>
        <v>278878344.16391325</v>
      </c>
      <c r="H445" s="112">
        <f t="shared" si="139"/>
        <v>289172145.91393071</v>
      </c>
      <c r="I445" s="7"/>
      <c r="J445" s="2"/>
      <c r="K445" s="85"/>
    </row>
    <row r="446" spans="1:11" ht="15" customHeight="1" outlineLevel="2" x14ac:dyDescent="0.25">
      <c r="A446" s="110" t="s">
        <v>215</v>
      </c>
      <c r="B446" s="110"/>
      <c r="C446" s="112">
        <f t="shared" ref="C446:H446" si="140">C373</f>
        <v>102847213.33333334</v>
      </c>
      <c r="D446" s="112">
        <f t="shared" si="140"/>
        <v>104046514.26666668</v>
      </c>
      <c r="E446" s="112">
        <f t="shared" si="140"/>
        <v>106127444.552</v>
      </c>
      <c r="F446" s="112">
        <f t="shared" si="140"/>
        <v>108249993.44304</v>
      </c>
      <c r="G446" s="112">
        <f t="shared" si="140"/>
        <v>110414993.31190081</v>
      </c>
      <c r="H446" s="112">
        <f t="shared" si="140"/>
        <v>128542532.52428363</v>
      </c>
      <c r="I446" s="7"/>
      <c r="J446" s="2"/>
      <c r="K446" s="85"/>
    </row>
    <row r="447" spans="1:11" ht="15" customHeight="1" outlineLevel="2" x14ac:dyDescent="0.25">
      <c r="A447" s="110" t="s">
        <v>216</v>
      </c>
      <c r="B447" s="110"/>
      <c r="C447" s="112">
        <f t="shared" ref="C447:H447" si="141">C380</f>
        <v>492826666.66666663</v>
      </c>
      <c r="D447" s="112">
        <f t="shared" si="141"/>
        <v>497754933.33333331</v>
      </c>
      <c r="E447" s="112">
        <f t="shared" si="141"/>
        <v>507710032</v>
      </c>
      <c r="F447" s="112">
        <f t="shared" si="141"/>
        <v>517864232.63999999</v>
      </c>
      <c r="G447" s="112">
        <f t="shared" si="141"/>
        <v>528221517.29280001</v>
      </c>
      <c r="H447" s="112">
        <f t="shared" si="141"/>
        <v>544068162.811584</v>
      </c>
      <c r="I447" s="7"/>
      <c r="J447" s="2"/>
      <c r="K447" s="85"/>
    </row>
    <row r="448" spans="1:11" ht="15" customHeight="1" outlineLevel="2" x14ac:dyDescent="0.25">
      <c r="A448" s="110" t="s">
        <v>217</v>
      </c>
      <c r="B448" s="110"/>
      <c r="C448" s="112">
        <f>SUM(C445:C447)</f>
        <v>830125538.88354862</v>
      </c>
      <c r="D448" s="112">
        <f t="shared" ref="D448:G448" si="142">SUM(D445:D447)</f>
        <v>848431140.10689735</v>
      </c>
      <c r="E448" s="112">
        <f t="shared" si="142"/>
        <v>869584901.24688363</v>
      </c>
      <c r="F448" s="112">
        <f t="shared" si="142"/>
        <v>892652159.25645447</v>
      </c>
      <c r="G448" s="112">
        <f t="shared" si="142"/>
        <v>917514854.76861405</v>
      </c>
      <c r="H448" s="112">
        <f>SUM(H445:H447)</f>
        <v>961782841.2497983</v>
      </c>
      <c r="I448" s="7"/>
      <c r="J448" s="2"/>
      <c r="K448" s="85"/>
    </row>
    <row r="449" spans="1:11" ht="15" customHeight="1" outlineLevel="2" x14ac:dyDescent="0.25">
      <c r="A449" s="111"/>
      <c r="B449" s="111"/>
      <c r="C449" s="113"/>
      <c r="D449" s="110"/>
      <c r="E449" s="110"/>
      <c r="F449" s="110"/>
      <c r="G449" s="110"/>
      <c r="H449" s="110"/>
      <c r="I449" s="7"/>
      <c r="J449" s="2"/>
      <c r="K449" s="85"/>
    </row>
    <row r="450" spans="1:11" ht="15" customHeight="1" outlineLevel="2" x14ac:dyDescent="0.25">
      <c r="A450" s="110" t="s">
        <v>277</v>
      </c>
      <c r="B450" s="110"/>
      <c r="C450" s="112">
        <f>C448+C443</f>
        <v>760607928.99717927</v>
      </c>
      <c r="D450" s="112">
        <f t="shared" ref="D450:H450" si="143">D448+D443</f>
        <v>991296466.11820698</v>
      </c>
      <c r="E450" s="112">
        <f t="shared" si="143"/>
        <v>1025986643.0539262</v>
      </c>
      <c r="F450" s="112">
        <f t="shared" si="143"/>
        <v>1021871747.4238594</v>
      </c>
      <c r="G450" s="112">
        <f t="shared" si="143"/>
        <v>1085715813.0464127</v>
      </c>
      <c r="H450" s="112">
        <f t="shared" si="143"/>
        <v>964451789.705585</v>
      </c>
      <c r="I450" s="7"/>
      <c r="J450" s="2"/>
      <c r="K450" s="85"/>
    </row>
    <row r="451" spans="1:11" ht="15" customHeight="1" outlineLevel="2" x14ac:dyDescent="0.25">
      <c r="A451" s="110"/>
      <c r="B451" s="113"/>
      <c r="C451" s="110"/>
      <c r="D451" s="110"/>
      <c r="E451" s="110"/>
      <c r="F451" s="110"/>
      <c r="G451" s="110"/>
      <c r="H451" s="110"/>
    </row>
    <row r="452" spans="1:11" ht="15" customHeight="1" outlineLevel="2" x14ac:dyDescent="0.25">
      <c r="A452" s="111"/>
      <c r="B452" s="111"/>
      <c r="C452" s="110"/>
      <c r="D452" s="114"/>
      <c r="E452" s="110"/>
      <c r="F452" s="110"/>
      <c r="G452" s="110"/>
      <c r="H452" s="110"/>
    </row>
    <row r="453" spans="1:11" ht="15" customHeight="1" outlineLevel="2" x14ac:dyDescent="0.25">
      <c r="A453" s="110" t="s">
        <v>218</v>
      </c>
      <c r="B453" s="110">
        <f>NPV(B417,D412:H412)</f>
        <v>435364632.71323359</v>
      </c>
      <c r="C453" s="110"/>
      <c r="D453" s="110"/>
      <c r="E453" s="115"/>
      <c r="F453" s="110"/>
      <c r="G453" s="110"/>
      <c r="H453" s="110"/>
    </row>
    <row r="454" spans="1:11" ht="15" customHeight="1" outlineLevel="2" x14ac:dyDescent="0.25">
      <c r="A454" s="116" t="s">
        <v>278</v>
      </c>
      <c r="B454" s="110">
        <f>NPV(B418,D448:H448)</f>
        <v>2984998758.842186</v>
      </c>
      <c r="C454" s="110"/>
      <c r="D454" s="110"/>
      <c r="E454" s="115"/>
      <c r="F454" s="110"/>
      <c r="G454" s="110"/>
      <c r="H454" s="110"/>
    </row>
    <row r="455" spans="1:11" ht="15" customHeight="1" outlineLevel="2" x14ac:dyDescent="0.25">
      <c r="A455" s="116" t="s">
        <v>279</v>
      </c>
      <c r="B455" s="110">
        <f>B453+B454</f>
        <v>3420363391.5554194</v>
      </c>
      <c r="C455" s="110"/>
      <c r="D455" s="110"/>
      <c r="E455" s="115"/>
      <c r="F455" s="110"/>
      <c r="G455" s="110"/>
      <c r="H455" s="110"/>
      <c r="J455" s="92"/>
    </row>
    <row r="456" spans="1:11" ht="15" customHeight="1" outlineLevel="2" x14ac:dyDescent="0.25">
      <c r="A456" s="110"/>
      <c r="B456" s="110"/>
      <c r="C456" s="110"/>
      <c r="D456" s="110"/>
      <c r="E456" s="110"/>
      <c r="F456" s="110"/>
      <c r="G456" s="110"/>
      <c r="H456" s="110"/>
    </row>
    <row r="457" spans="1:11" ht="15" customHeight="1" outlineLevel="2" x14ac:dyDescent="0.25">
      <c r="A457" s="110" t="s">
        <v>219</v>
      </c>
      <c r="B457" s="111">
        <f>+B158</f>
        <v>160170399.52499509</v>
      </c>
      <c r="C457" s="110"/>
      <c r="D457" s="110"/>
      <c r="E457" s="110"/>
      <c r="F457" s="117"/>
      <c r="G457" s="110"/>
      <c r="H457" s="110"/>
    </row>
    <row r="458" spans="1:11" ht="15" customHeight="1" outlineLevel="2" thickBot="1" x14ac:dyDescent="0.3">
      <c r="A458" s="110"/>
      <c r="B458" s="110"/>
      <c r="C458" s="110"/>
      <c r="D458" s="110"/>
      <c r="E458" s="110"/>
      <c r="F458" s="117"/>
      <c r="G458" s="110"/>
      <c r="H458" s="110"/>
    </row>
    <row r="459" spans="1:11" ht="15" customHeight="1" outlineLevel="2" thickBot="1" x14ac:dyDescent="0.3">
      <c r="A459" s="118" t="s">
        <v>220</v>
      </c>
      <c r="B459" s="119">
        <f>B453-B457</f>
        <v>275194233.1882385</v>
      </c>
      <c r="C459" s="110"/>
      <c r="D459" s="110"/>
      <c r="E459" s="110"/>
      <c r="F459" s="117"/>
      <c r="G459" s="110"/>
      <c r="H459" s="110"/>
    </row>
    <row r="460" spans="1:11" ht="15" customHeight="1" outlineLevel="2" thickBot="1" x14ac:dyDescent="0.3">
      <c r="A460" s="120" t="s">
        <v>221</v>
      </c>
      <c r="B460" s="121">
        <f>B455-B457</f>
        <v>3260192992.0304241</v>
      </c>
      <c r="C460" s="110"/>
      <c r="D460" s="110"/>
      <c r="E460" s="110"/>
      <c r="F460" s="117"/>
      <c r="G460" s="110"/>
      <c r="H460" s="110"/>
    </row>
    <row r="461" spans="1:11" ht="15.75" customHeight="1" outlineLevel="2" x14ac:dyDescent="0.25">
      <c r="A461" s="7"/>
      <c r="B461" s="7"/>
      <c r="C461" s="7"/>
      <c r="D461" s="7"/>
      <c r="E461" s="7"/>
      <c r="F461" s="7"/>
      <c r="G461" s="7"/>
      <c r="H461" s="7"/>
    </row>
    <row r="462" spans="1:11" ht="15.75" customHeight="1" outlineLevel="2" thickBot="1" x14ac:dyDescent="0.3">
      <c r="A462" s="7" t="s">
        <v>222</v>
      </c>
      <c r="B462" s="7">
        <f>-B457</f>
        <v>-160170399.52499509</v>
      </c>
      <c r="C462" s="7">
        <f>C412</f>
        <v>-69517609.886369318</v>
      </c>
      <c r="D462" s="7">
        <f t="shared" ref="D462:H462" si="144">D412</f>
        <v>142865326.01130956</v>
      </c>
      <c r="E462" s="7">
        <f t="shared" si="144"/>
        <v>156401741.80704266</v>
      </c>
      <c r="F462" s="7">
        <f t="shared" si="144"/>
        <v>129219588.16740488</v>
      </c>
      <c r="G462" s="7">
        <f t="shared" si="144"/>
        <v>168200958.27779868</v>
      </c>
      <c r="H462" s="7">
        <f t="shared" si="144"/>
        <v>23609928.647344459</v>
      </c>
    </row>
    <row r="463" spans="1:11" ht="15" customHeight="1" outlineLevel="2" thickBot="1" x14ac:dyDescent="0.3">
      <c r="A463" s="23" t="s">
        <v>223</v>
      </c>
      <c r="B463" s="25">
        <f>IRR(B462:H462)</f>
        <v>0.3724896035003129</v>
      </c>
    </row>
    <row r="464" spans="1:11" ht="15.75" customHeight="1" outlineLevel="2" x14ac:dyDescent="0.25">
      <c r="A464" s="7"/>
      <c r="B464" s="7"/>
      <c r="C464" s="7"/>
      <c r="D464" s="7"/>
      <c r="E464" s="7"/>
      <c r="F464" s="7"/>
      <c r="G464" s="7"/>
      <c r="H464" s="7"/>
    </row>
    <row r="465" spans="1:8" ht="15.75" customHeight="1" outlineLevel="2" thickBot="1" x14ac:dyDescent="0.3">
      <c r="A465" s="7" t="s">
        <v>222</v>
      </c>
      <c r="B465" s="7">
        <f>-B457</f>
        <v>-160170399.52499509</v>
      </c>
      <c r="C465" s="7">
        <f>+C412</f>
        <v>-69517609.886369318</v>
      </c>
      <c r="D465" s="7">
        <f>D412</f>
        <v>142865326.01130956</v>
      </c>
      <c r="E465" s="7">
        <f t="shared" ref="E465:H465" si="145">E412</f>
        <v>156401741.80704266</v>
      </c>
      <c r="F465" s="7">
        <f t="shared" si="145"/>
        <v>129219588.16740488</v>
      </c>
      <c r="G465" s="7">
        <f t="shared" si="145"/>
        <v>168200958.27779868</v>
      </c>
      <c r="H465" s="7">
        <f t="shared" si="145"/>
        <v>23609928.647344459</v>
      </c>
    </row>
    <row r="466" spans="1:8" ht="15" customHeight="1" outlineLevel="2" x14ac:dyDescent="0.25">
      <c r="A466" s="26" t="s">
        <v>224</v>
      </c>
      <c r="B466" s="182">
        <f>NPV(B417,C465:E465)+B465</f>
        <v>-9757099.5198498368</v>
      </c>
      <c r="C466" s="27"/>
      <c r="D466" s="28" t="s">
        <v>378</v>
      </c>
      <c r="E466" s="7"/>
      <c r="F466" s="7"/>
      <c r="G466" s="7"/>
      <c r="H466" s="7"/>
    </row>
    <row r="467" spans="1:8" ht="15.75" customHeight="1" outlineLevel="2" thickBot="1" x14ac:dyDescent="0.3">
      <c r="A467" s="29" t="s">
        <v>225</v>
      </c>
      <c r="B467" s="183">
        <f>NPV(B417,C465:F465)+B465</f>
        <v>64124619.409059018</v>
      </c>
      <c r="C467" s="30"/>
      <c r="D467" s="31" t="s">
        <v>379</v>
      </c>
      <c r="E467" s="7"/>
      <c r="F467" s="7"/>
      <c r="G467" s="7"/>
      <c r="H467" s="7"/>
    </row>
    <row r="468" spans="1:8" ht="15" customHeight="1" outlineLevel="1" x14ac:dyDescent="0.25"/>
    <row r="469" spans="1:8" ht="15.75" customHeight="1" x14ac:dyDescent="0.25"/>
    <row r="470" spans="1:8" ht="15" customHeight="1" x14ac:dyDescent="0.25"/>
    <row r="471" spans="1:8" ht="15" customHeight="1" x14ac:dyDescent="0.25"/>
    <row r="472" spans="1:8" ht="15" customHeight="1" x14ac:dyDescent="0.25"/>
    <row r="473" spans="1:8" ht="15" customHeight="1" x14ac:dyDescent="0.25"/>
    <row r="474" spans="1:8" ht="15" customHeight="1" x14ac:dyDescent="0.25"/>
    <row r="475" spans="1:8" ht="15" customHeight="1" x14ac:dyDescent="0.25"/>
    <row r="476" spans="1:8" ht="15" customHeight="1" x14ac:dyDescent="0.25"/>
  </sheetData>
  <conditionalFormatting sqref="C365:H365">
    <cfRule type="expression" dxfId="8" priority="8">
      <formula>C$365&lt;0</formula>
    </cfRule>
    <cfRule type="expression" dxfId="7" priority="9">
      <formula>C$365&gt;0</formula>
    </cfRule>
  </conditionalFormatting>
  <conditionalFormatting sqref="C373:H373">
    <cfRule type="expression" dxfId="6" priority="6">
      <formula>C$373&gt;0</formula>
    </cfRule>
    <cfRule type="expression" dxfId="5" priority="7">
      <formula>C$373&lt;0</formula>
    </cfRule>
  </conditionalFormatting>
  <conditionalFormatting sqref="C380:H380">
    <cfRule type="expression" dxfId="4" priority="4">
      <formula>C$380&gt;0</formula>
    </cfRule>
    <cfRule type="expression" dxfId="3" priority="5">
      <formula>C$380&lt;0</formula>
    </cfRule>
  </conditionalFormatting>
  <conditionalFormatting sqref="C390:H390">
    <cfRule type="expression" dxfId="2" priority="3">
      <formula>C$390&gt;0</formula>
    </cfRule>
  </conditionalFormatting>
  <conditionalFormatting sqref="B443:H443 C444:H450">
    <cfRule type="expression" dxfId="1" priority="1">
      <formula>B443&gt;0</formula>
    </cfRule>
    <cfRule type="expression" dxfId="0" priority="2">
      <formula>B443&lt;0</formula>
    </cfRule>
  </conditionalFormatting>
  <dataValidations disablePrompts="1" count="3">
    <dataValidation type="decimal" allowBlank="1" showInputMessage="1" showErrorMessage="1" errorTitle="Ponderación " error="Ponderación debe ser un número entre 0 y 1 " promptTitle="Ponderación " prompt="Ponderación debe ser un número entre 0 y 1 " sqref="J6:J8 J13:J15 J20:J22 J31:J33 J43:J45" xr:uid="{926029DE-3FBA-B241-B969-0D6D95D665B9}">
      <formula1>0</formula1>
      <formula2>1</formula2>
    </dataValidation>
    <dataValidation type="decimal" allowBlank="1" showInputMessage="1" showErrorMessage="1" errorTitle="Ponderación " error="La ponderación debe ser un número entre 0 y 1. " promptTitle="Ponderación" prompt="La ponderación debe ser un número entre 0 y 1. " sqref="J16" xr:uid="{37F86655-529D-4D42-AF93-9E48BABBC1F1}">
      <formula1>0</formula1>
      <formula2>1</formula2>
    </dataValidation>
    <dataValidation type="decimal" allowBlank="1" showInputMessage="1" showErrorMessage="1" errorTitle="Ponderación " error="La ponderación debe ser un número entre 0 y 1. " promptTitle="Ponderación " prompt="La ponderación debe ser un número entre 0 y 1. " sqref="J34 J23 J46" xr:uid="{E048F6EB-1B03-5D44-86E4-56E3A7BD5E23}">
      <formula1>0</formula1>
      <formula2>1</formula2>
    </dataValidation>
  </dataValidations>
  <hyperlinks>
    <hyperlink ref="K43" r:id="rId1" xr:uid="{E3264B47-E5E1-462F-8780-6D233849FDE0}"/>
    <hyperlink ref="K82" r:id="rId2" xr:uid="{B6862A1A-A1A3-44A9-85B9-8672EBC7D04D}"/>
  </hyperlinks>
  <pageMargins left="0.7" right="0.7" top="0.75" bottom="0.75" header="0.3" footer="0.3"/>
  <pageSetup orientation="portrait" verticalDpi="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3C9B8-B622-4A05-96E6-AEA8D69C2283}">
  <dimension ref="A2:M40"/>
  <sheetViews>
    <sheetView zoomScale="84" workbookViewId="0">
      <selection activeCell="J12" sqref="J12"/>
    </sheetView>
  </sheetViews>
  <sheetFormatPr baseColWidth="10" defaultRowHeight="15" x14ac:dyDescent="0.25"/>
  <cols>
    <col min="1" max="1" width="36.7109375" customWidth="1"/>
    <col min="2" max="2" width="14.85546875" customWidth="1"/>
    <col min="3" max="3" width="11.85546875" bestFit="1" customWidth="1"/>
    <col min="4" max="4" width="16.7109375" bestFit="1" customWidth="1"/>
    <col min="5" max="5" width="18.140625" bestFit="1" customWidth="1"/>
    <col min="6" max="6" width="15.140625" bestFit="1" customWidth="1"/>
    <col min="7" max="7" width="31.85546875" customWidth="1"/>
    <col min="8" max="8" width="8.5703125" style="196" customWidth="1"/>
    <col min="9" max="9" width="25.7109375" bestFit="1" customWidth="1"/>
    <col min="10" max="10" width="14.42578125" bestFit="1" customWidth="1"/>
    <col min="11" max="11" width="14.140625" bestFit="1" customWidth="1"/>
    <col min="12" max="12" width="13.140625" bestFit="1" customWidth="1"/>
  </cols>
  <sheetData>
    <row r="2" spans="1:13" x14ac:dyDescent="0.25">
      <c r="A2" s="191" t="s">
        <v>398</v>
      </c>
      <c r="B2" s="191"/>
      <c r="C2" s="191"/>
      <c r="D2" s="191"/>
      <c r="E2" s="191"/>
      <c r="F2" s="191"/>
      <c r="G2" s="191"/>
      <c r="H2" s="204"/>
    </row>
    <row r="3" spans="1:13" x14ac:dyDescent="0.25">
      <c r="A3" s="192" t="s">
        <v>324</v>
      </c>
      <c r="B3" s="192" t="s">
        <v>325</v>
      </c>
      <c r="C3" s="45" t="s">
        <v>326</v>
      </c>
      <c r="D3" s="192" t="s">
        <v>327</v>
      </c>
      <c r="E3" s="192" t="s">
        <v>386</v>
      </c>
      <c r="F3" s="191" t="s">
        <v>387</v>
      </c>
      <c r="G3" s="191"/>
      <c r="H3" s="205"/>
      <c r="I3" s="219" t="s">
        <v>395</v>
      </c>
      <c r="J3" s="219" t="s">
        <v>328</v>
      </c>
      <c r="K3" s="153"/>
    </row>
    <row r="4" spans="1:13" x14ac:dyDescent="0.25">
      <c r="A4" s="45" t="s">
        <v>329</v>
      </c>
      <c r="B4" s="152">
        <v>1</v>
      </c>
      <c r="C4" s="152">
        <v>1</v>
      </c>
      <c r="D4" s="154">
        <v>3500000</v>
      </c>
      <c r="E4" s="155">
        <f>(D4*C4)*B4</f>
        <v>3500000</v>
      </c>
      <c r="F4" s="156">
        <f>+E5+E7+E8+E9</f>
        <v>64000000</v>
      </c>
      <c r="G4" s="157" t="s">
        <v>389</v>
      </c>
      <c r="I4" s="219" t="s">
        <v>330</v>
      </c>
      <c r="J4" s="220">
        <v>5000000</v>
      </c>
    </row>
    <row r="5" spans="1:13" x14ac:dyDescent="0.25">
      <c r="A5" s="45" t="s">
        <v>331</v>
      </c>
      <c r="B5" s="152">
        <v>1</v>
      </c>
      <c r="C5" s="152">
        <v>1</v>
      </c>
      <c r="D5" s="154">
        <v>50000000</v>
      </c>
      <c r="E5" s="155">
        <f t="shared" ref="E5:E10" si="0">(D5*C5)*B5</f>
        <v>50000000</v>
      </c>
      <c r="F5" s="158">
        <f>+E4+E6/12</f>
        <v>3625000</v>
      </c>
      <c r="G5" s="158" t="s">
        <v>390</v>
      </c>
      <c r="H5" s="206"/>
      <c r="I5" s="221">
        <f>+(F4-J4)/10</f>
        <v>5900000</v>
      </c>
      <c r="J5" s="221"/>
    </row>
    <row r="6" spans="1:13" x14ac:dyDescent="0.25">
      <c r="A6" s="180" t="s">
        <v>332</v>
      </c>
      <c r="B6" s="152">
        <v>1</v>
      </c>
      <c r="C6" s="152">
        <v>1</v>
      </c>
      <c r="D6" s="154">
        <v>1500000</v>
      </c>
      <c r="E6" s="155">
        <f>(D6*C6)*B6</f>
        <v>1500000</v>
      </c>
      <c r="F6" s="161"/>
      <c r="G6" s="161"/>
      <c r="I6" s="222">
        <f>+I5/F4</f>
        <v>9.2187500000000006E-2</v>
      </c>
      <c r="J6" s="223"/>
    </row>
    <row r="7" spans="1:13" x14ac:dyDescent="0.25">
      <c r="A7" s="45" t="s">
        <v>333</v>
      </c>
      <c r="B7" s="152">
        <v>1</v>
      </c>
      <c r="C7" s="152">
        <v>1</v>
      </c>
      <c r="D7" s="163">
        <v>5000000</v>
      </c>
      <c r="E7" s="155">
        <f t="shared" si="0"/>
        <v>5000000</v>
      </c>
      <c r="F7" s="161"/>
      <c r="G7" s="161"/>
      <c r="I7" s="159"/>
    </row>
    <row r="8" spans="1:13" x14ac:dyDescent="0.25">
      <c r="A8" s="45" t="s">
        <v>334</v>
      </c>
      <c r="B8" s="152">
        <v>20</v>
      </c>
      <c r="C8" s="152">
        <v>1</v>
      </c>
      <c r="D8" s="163">
        <v>300000</v>
      </c>
      <c r="E8" s="155">
        <f t="shared" si="0"/>
        <v>6000000</v>
      </c>
      <c r="F8" s="161"/>
      <c r="G8" s="161"/>
      <c r="I8" s="69"/>
      <c r="J8" s="159"/>
      <c r="K8" s="159"/>
    </row>
    <row r="9" spans="1:13" x14ac:dyDescent="0.25">
      <c r="A9" s="45" t="s">
        <v>335</v>
      </c>
      <c r="B9" s="152">
        <v>1</v>
      </c>
      <c r="C9" s="152">
        <v>1</v>
      </c>
      <c r="D9" s="163">
        <v>3000000</v>
      </c>
      <c r="E9" s="155">
        <f t="shared" si="0"/>
        <v>3000000</v>
      </c>
      <c r="F9" s="161"/>
      <c r="G9" s="161"/>
      <c r="J9" s="69"/>
      <c r="K9" s="155"/>
      <c r="L9" s="159"/>
      <c r="M9" s="162"/>
    </row>
    <row r="10" spans="1:13" x14ac:dyDescent="0.25">
      <c r="A10" s="180" t="s">
        <v>336</v>
      </c>
      <c r="B10" s="164">
        <v>1</v>
      </c>
      <c r="C10" s="152">
        <v>12</v>
      </c>
      <c r="D10" s="154">
        <v>8000000</v>
      </c>
      <c r="E10" s="155">
        <f t="shared" si="0"/>
        <v>96000000</v>
      </c>
      <c r="F10" s="165">
        <f>+D10+(D11*B11)+(E12/12)</f>
        <v>10750000</v>
      </c>
      <c r="G10" s="166" t="s">
        <v>391</v>
      </c>
    </row>
    <row r="11" spans="1:13" x14ac:dyDescent="0.25">
      <c r="A11" s="193" t="s">
        <v>350</v>
      </c>
      <c r="B11" s="167">
        <v>20</v>
      </c>
      <c r="C11" s="167">
        <v>12</v>
      </c>
      <c r="D11" s="168">
        <v>100000</v>
      </c>
      <c r="E11" s="168">
        <f>(D11*C11)*B11</f>
        <v>24000000</v>
      </c>
      <c r="F11" s="169"/>
      <c r="G11" s="166"/>
      <c r="I11" s="225" t="s">
        <v>399</v>
      </c>
    </row>
    <row r="12" spans="1:13" x14ac:dyDescent="0.25">
      <c r="A12" s="193" t="s">
        <v>337</v>
      </c>
      <c r="B12" s="167">
        <v>1</v>
      </c>
      <c r="C12" s="167">
        <v>3</v>
      </c>
      <c r="D12" s="170">
        <v>3000000</v>
      </c>
      <c r="E12" s="171">
        <f>(D12*C12)*B12</f>
        <v>9000000</v>
      </c>
      <c r="F12" s="169"/>
      <c r="G12" s="166"/>
      <c r="I12" s="226">
        <f>+F13+F15</f>
        <v>13720000</v>
      </c>
    </row>
    <row r="13" spans="1:13" x14ac:dyDescent="0.25">
      <c r="A13" s="45" t="s">
        <v>338</v>
      </c>
      <c r="B13" s="152">
        <v>3</v>
      </c>
      <c r="C13" s="152">
        <v>12</v>
      </c>
      <c r="D13" s="163">
        <v>1500000</v>
      </c>
      <c r="E13" s="155">
        <f t="shared" ref="E13:E14" si="1">(D13*C13)*B13</f>
        <v>54000000</v>
      </c>
      <c r="F13" s="172">
        <f>+D13*B13+D14</f>
        <v>7000000</v>
      </c>
      <c r="G13" s="173" t="s">
        <v>392</v>
      </c>
      <c r="I13" s="227">
        <f>+I12/F18</f>
        <v>0.27439999999999998</v>
      </c>
    </row>
    <row r="14" spans="1:13" x14ac:dyDescent="0.25">
      <c r="A14" s="45" t="s">
        <v>146</v>
      </c>
      <c r="B14" s="152">
        <v>1</v>
      </c>
      <c r="C14" s="152">
        <v>12</v>
      </c>
      <c r="D14" s="163">
        <v>2500000</v>
      </c>
      <c r="E14" s="155">
        <f t="shared" si="1"/>
        <v>30000000</v>
      </c>
      <c r="F14" s="173"/>
      <c r="G14" s="173"/>
    </row>
    <row r="15" spans="1:13" ht="45" x14ac:dyDescent="0.25">
      <c r="A15" s="218" t="s">
        <v>339</v>
      </c>
      <c r="B15" s="167">
        <v>6</v>
      </c>
      <c r="C15" s="167">
        <v>12</v>
      </c>
      <c r="D15" s="170">
        <v>1120000</v>
      </c>
      <c r="E15" s="171">
        <f>(D15*C15)*B15</f>
        <v>80640000</v>
      </c>
      <c r="F15" s="174">
        <f>E15/12</f>
        <v>6720000</v>
      </c>
      <c r="G15" s="174" t="s">
        <v>393</v>
      </c>
      <c r="H15" s="207"/>
    </row>
    <row r="16" spans="1:13" x14ac:dyDescent="0.25">
      <c r="A16" s="193" t="s">
        <v>340</v>
      </c>
      <c r="B16" s="167">
        <v>1</v>
      </c>
      <c r="C16" s="167">
        <v>12</v>
      </c>
      <c r="D16" s="170">
        <v>1800000</v>
      </c>
      <c r="E16" s="171">
        <f>(D16*C16)*B16</f>
        <v>21600000</v>
      </c>
      <c r="F16" s="149">
        <f>+E16/12</f>
        <v>1800000</v>
      </c>
      <c r="G16" s="166" t="s">
        <v>397</v>
      </c>
      <c r="I16" s="198" t="s">
        <v>394</v>
      </c>
      <c r="J16" s="198" t="s">
        <v>341</v>
      </c>
      <c r="K16" s="198" t="s">
        <v>342</v>
      </c>
    </row>
    <row r="17" spans="1:13" x14ac:dyDescent="0.25">
      <c r="A17" s="208" t="s">
        <v>388</v>
      </c>
      <c r="B17" s="195"/>
      <c r="C17" s="195"/>
      <c r="D17" s="170"/>
      <c r="E17" s="171">
        <f>+F17*12</f>
        <v>384681598.09998035</v>
      </c>
      <c r="F17" s="209">
        <f>+SUM(F5:F16)+I17</f>
        <v>32056799.84166503</v>
      </c>
      <c r="G17" s="207"/>
      <c r="I17" s="202">
        <v>2161799.8416650277</v>
      </c>
      <c r="J17" s="199">
        <f>F5+F10+I17+F13</f>
        <v>23536799.84166503</v>
      </c>
      <c r="K17" s="199">
        <f>F15+F16</f>
        <v>8520000</v>
      </c>
    </row>
    <row r="18" spans="1:13" x14ac:dyDescent="0.25">
      <c r="A18" s="208" t="s">
        <v>343</v>
      </c>
      <c r="B18" s="168">
        <v>5000</v>
      </c>
      <c r="C18" s="170">
        <v>10000</v>
      </c>
      <c r="D18" s="171">
        <f>+B18*C18</f>
        <v>50000000</v>
      </c>
      <c r="E18" s="171">
        <f>+D18*12</f>
        <v>600000000</v>
      </c>
      <c r="F18" s="209">
        <f>+D18</f>
        <v>50000000</v>
      </c>
      <c r="G18" s="196"/>
      <c r="I18" s="203"/>
      <c r="J18" s="200">
        <f>+J17/F18</f>
        <v>0.47073599683330059</v>
      </c>
      <c r="K18" s="201">
        <f>+K17/F18</f>
        <v>0.1704</v>
      </c>
      <c r="M18" s="69"/>
    </row>
    <row r="19" spans="1:13" s="196" customFormat="1" x14ac:dyDescent="0.25">
      <c r="A19" s="194"/>
      <c r="B19" s="195"/>
      <c r="C19" s="168"/>
      <c r="D19" s="170"/>
      <c r="I19" s="40"/>
      <c r="J19" s="197"/>
      <c r="K19" s="67"/>
      <c r="M19" s="40"/>
    </row>
    <row r="20" spans="1:13" s="196" customFormat="1" x14ac:dyDescent="0.25">
      <c r="A20" s="194"/>
      <c r="B20" s="195"/>
      <c r="C20" s="168"/>
      <c r="D20" s="170"/>
      <c r="I20" s="40"/>
      <c r="J20" s="197"/>
      <c r="K20" s="67"/>
      <c r="M20" s="40"/>
    </row>
    <row r="21" spans="1:13" s="196" customFormat="1" x14ac:dyDescent="0.25">
      <c r="A21" s="215" t="s">
        <v>396</v>
      </c>
      <c r="B21" s="215"/>
      <c r="C21" s="168"/>
      <c r="D21" s="170"/>
      <c r="I21" s="40"/>
      <c r="J21" s="197"/>
      <c r="K21" s="67"/>
      <c r="M21" s="40"/>
    </row>
    <row r="22" spans="1:13" s="196" customFormat="1" x14ac:dyDescent="0.25">
      <c r="A22" s="216"/>
      <c r="B22" s="217"/>
      <c r="C22" s="168"/>
      <c r="D22" s="170"/>
      <c r="I22" s="40"/>
      <c r="J22" s="197"/>
      <c r="K22" s="67"/>
      <c r="M22" s="40"/>
    </row>
    <row r="23" spans="1:13" x14ac:dyDescent="0.25">
      <c r="A23" s="210" t="s">
        <v>344</v>
      </c>
      <c r="B23" s="211">
        <f>+B18*1000/3</f>
        <v>1666666.6666666667</v>
      </c>
      <c r="E23" s="38"/>
      <c r="F23" s="155"/>
      <c r="G23" s="155"/>
      <c r="H23" s="206"/>
    </row>
    <row r="24" spans="1:13" x14ac:dyDescent="0.25">
      <c r="A24" s="210" t="s">
        <v>345</v>
      </c>
      <c r="B24" s="161">
        <v>30</v>
      </c>
    </row>
    <row r="25" spans="1:13" x14ac:dyDescent="0.25">
      <c r="A25" s="210" t="s">
        <v>353</v>
      </c>
      <c r="B25" s="211">
        <f>+B23/B24</f>
        <v>55555.555555555555</v>
      </c>
      <c r="D25" s="175"/>
      <c r="F25" s="69"/>
      <c r="I25" s="69"/>
    </row>
    <row r="26" spans="1:13" x14ac:dyDescent="0.25">
      <c r="A26" s="210" t="s">
        <v>346</v>
      </c>
      <c r="B26" s="212">
        <f>+B25/4</f>
        <v>13888.888888888889</v>
      </c>
      <c r="D26" s="175"/>
    </row>
    <row r="27" spans="1:13" x14ac:dyDescent="0.25">
      <c r="A27" s="210" t="s">
        <v>359</v>
      </c>
      <c r="B27" s="212">
        <f>+B26/6</f>
        <v>2314.8148148148148</v>
      </c>
      <c r="D27" s="175"/>
    </row>
    <row r="28" spans="1:13" x14ac:dyDescent="0.25">
      <c r="A28" s="210" t="s">
        <v>354</v>
      </c>
      <c r="B28" s="161">
        <v>20</v>
      </c>
      <c r="J28" s="69"/>
    </row>
    <row r="29" spans="1:13" x14ac:dyDescent="0.25">
      <c r="A29" s="210"/>
      <c r="B29" s="161">
        <f>+B28*12</f>
        <v>240</v>
      </c>
      <c r="J29" s="69"/>
    </row>
    <row r="30" spans="1:13" x14ac:dyDescent="0.25">
      <c r="A30" s="210" t="s">
        <v>355</v>
      </c>
      <c r="B30" s="161">
        <f>+B29/30</f>
        <v>8</v>
      </c>
    </row>
    <row r="31" spans="1:13" x14ac:dyDescent="0.25">
      <c r="A31" s="210" t="s">
        <v>356</v>
      </c>
      <c r="B31" s="161">
        <f>+B30/12</f>
        <v>0.66666666666666663</v>
      </c>
    </row>
    <row r="32" spans="1:13" x14ac:dyDescent="0.25">
      <c r="A32" s="210" t="s">
        <v>357</v>
      </c>
      <c r="B32" s="213">
        <f>+B25/B31</f>
        <v>83333.333333333343</v>
      </c>
      <c r="D32" s="162"/>
    </row>
    <row r="33" spans="1:2" x14ac:dyDescent="0.25">
      <c r="A33" s="210"/>
      <c r="B33" s="214">
        <f>+B32/8000000</f>
        <v>1.0416666666666668E-2</v>
      </c>
    </row>
    <row r="34" spans="1:2" x14ac:dyDescent="0.25">
      <c r="A34" s="210" t="s">
        <v>360</v>
      </c>
      <c r="B34" s="212">
        <f>+B25/20</f>
        <v>2777.7777777777778</v>
      </c>
    </row>
    <row r="35" spans="1:2" x14ac:dyDescent="0.25">
      <c r="A35" s="210" t="s">
        <v>358</v>
      </c>
      <c r="B35" s="212">
        <f>+B25/20/4</f>
        <v>694.44444444444446</v>
      </c>
    </row>
    <row r="36" spans="1:2" x14ac:dyDescent="0.25">
      <c r="A36" s="210"/>
      <c r="B36" s="161"/>
    </row>
    <row r="37" spans="1:2" x14ac:dyDescent="0.25">
      <c r="A37" s="210" t="s">
        <v>361</v>
      </c>
      <c r="B37" s="161">
        <v>24310</v>
      </c>
    </row>
    <row r="38" spans="1:2" x14ac:dyDescent="0.25">
      <c r="A38" s="210" t="s">
        <v>362</v>
      </c>
      <c r="B38" s="212">
        <f>+B37*10%</f>
        <v>2431</v>
      </c>
    </row>
    <row r="39" spans="1:2" x14ac:dyDescent="0.25">
      <c r="A39" s="210"/>
      <c r="B39" s="161"/>
    </row>
    <row r="40" spans="1:2" x14ac:dyDescent="0.25">
      <c r="A40" s="210" t="s">
        <v>368</v>
      </c>
      <c r="B40" s="161">
        <v>4.8</v>
      </c>
    </row>
  </sheetData>
  <mergeCells count="3">
    <mergeCell ref="F3:G3"/>
    <mergeCell ref="A2:G2"/>
    <mergeCell ref="A21:B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76C40-AFA7-493B-9923-415F9D98FD36}">
  <dimension ref="B1:H61"/>
  <sheetViews>
    <sheetView tabSelected="1" zoomScale="84" zoomScaleNormal="84" workbookViewId="0">
      <selection activeCell="C9" sqref="C9"/>
    </sheetView>
  </sheetViews>
  <sheetFormatPr baseColWidth="10" defaultColWidth="11.42578125" defaultRowHeight="14.25" x14ac:dyDescent="0.2"/>
  <cols>
    <col min="1" max="1" width="11.42578125" style="129"/>
    <col min="2" max="2" width="28.7109375" style="129" bestFit="1" customWidth="1"/>
    <col min="3" max="3" width="33.140625" style="129" bestFit="1" customWidth="1"/>
    <col min="4" max="4" width="26.42578125" style="129" bestFit="1" customWidth="1"/>
    <col min="5" max="5" width="15.42578125" style="129" bestFit="1" customWidth="1"/>
    <col min="6" max="6" width="16.7109375" style="129" bestFit="1" customWidth="1"/>
    <col min="7" max="7" width="17.85546875" style="129" hidden="1" customWidth="1"/>
    <col min="8" max="8" width="15.42578125" style="129" hidden="1" customWidth="1"/>
    <col min="9" max="9" width="14.42578125" style="129" customWidth="1"/>
    <col min="10" max="11" width="15.28515625" style="129" bestFit="1" customWidth="1"/>
    <col min="12" max="12" width="15.42578125" style="129" bestFit="1" customWidth="1"/>
    <col min="13" max="16384" width="11.42578125" style="129"/>
  </cols>
  <sheetData>
    <row r="1" spans="2:6" s="140" customFormat="1" ht="15" thickTop="1" x14ac:dyDescent="0.2"/>
    <row r="3" spans="2:6" ht="15" x14ac:dyDescent="0.25">
      <c r="B3" s="224" t="s">
        <v>323</v>
      </c>
      <c r="C3" s="224"/>
      <c r="D3" s="224"/>
    </row>
    <row r="5" spans="2:6" x14ac:dyDescent="0.2">
      <c r="B5" s="129" t="s">
        <v>313</v>
      </c>
      <c r="C5" s="130">
        <v>64000000</v>
      </c>
      <c r="E5" s="139"/>
    </row>
    <row r="6" spans="2:6" x14ac:dyDescent="0.2">
      <c r="B6" s="129" t="s">
        <v>312</v>
      </c>
      <c r="C6" s="129">
        <v>36</v>
      </c>
    </row>
    <row r="7" spans="2:6" x14ac:dyDescent="0.2">
      <c r="B7" s="129" t="s">
        <v>311</v>
      </c>
      <c r="C7" s="138">
        <v>0.14000000000000001</v>
      </c>
      <c r="E7" s="138"/>
    </row>
    <row r="8" spans="2:6" ht="15" x14ac:dyDescent="0.25">
      <c r="B8" s="129" t="s">
        <v>310</v>
      </c>
      <c r="C8" s="137">
        <f>+((1+C7)^(1/12))-1</f>
        <v>1.0978851950173452E-2</v>
      </c>
      <c r="E8" s="137"/>
    </row>
    <row r="10" spans="2:6" x14ac:dyDescent="0.2">
      <c r="B10" s="129" t="s">
        <v>309</v>
      </c>
      <c r="C10" s="134">
        <f>-PMT(C8,C6,C5)</f>
        <v>2161799.8416650277</v>
      </c>
      <c r="E10" s="134"/>
    </row>
    <row r="13" spans="2:6" x14ac:dyDescent="0.2">
      <c r="B13" s="133" t="s">
        <v>308</v>
      </c>
      <c r="C13" s="133" t="s">
        <v>307</v>
      </c>
      <c r="D13" s="136" t="s">
        <v>306</v>
      </c>
      <c r="E13" s="136" t="s">
        <v>305</v>
      </c>
      <c r="F13" s="133" t="s">
        <v>304</v>
      </c>
    </row>
    <row r="14" spans="2:6" x14ac:dyDescent="0.2">
      <c r="B14" s="133">
        <v>0</v>
      </c>
      <c r="C14" s="133"/>
      <c r="D14" s="136"/>
      <c r="E14" s="136"/>
      <c r="F14" s="135">
        <f>+C5</f>
        <v>64000000</v>
      </c>
    </row>
    <row r="15" spans="2:6" x14ac:dyDescent="0.2">
      <c r="B15" s="133">
        <v>1</v>
      </c>
      <c r="C15" s="131">
        <f t="shared" ref="C15:C50" si="0">+$C$10</f>
        <v>2161799.8416650277</v>
      </c>
      <c r="D15" s="132">
        <f t="shared" ref="D15:D49" si="1">+F14*$C$8</f>
        <v>702646.52481110091</v>
      </c>
      <c r="E15" s="132">
        <f t="shared" ref="E15:E49" si="2">+C15-D15</f>
        <v>1459153.3168539267</v>
      </c>
      <c r="F15" s="131">
        <f t="shared" ref="F15:F49" si="3">+F14-E15</f>
        <v>62540846.683146074</v>
      </c>
    </row>
    <row r="16" spans="2:6" x14ac:dyDescent="0.2">
      <c r="B16" s="133">
        <v>2</v>
      </c>
      <c r="C16" s="131">
        <f t="shared" si="0"/>
        <v>2161799.8416650277</v>
      </c>
      <c r="D16" s="132">
        <f t="shared" si="1"/>
        <v>686626.69657275709</v>
      </c>
      <c r="E16" s="132">
        <f t="shared" si="2"/>
        <v>1475173.1450922706</v>
      </c>
      <c r="F16" s="131">
        <f t="shared" si="3"/>
        <v>61065673.538053803</v>
      </c>
    </row>
    <row r="17" spans="2:8" x14ac:dyDescent="0.2">
      <c r="B17" s="133">
        <v>3</v>
      </c>
      <c r="C17" s="131">
        <f t="shared" si="0"/>
        <v>2161799.8416650277</v>
      </c>
      <c r="D17" s="132">
        <f t="shared" si="1"/>
        <v>670430.98901191738</v>
      </c>
      <c r="E17" s="132">
        <f t="shared" si="2"/>
        <v>1491368.8526531104</v>
      </c>
      <c r="F17" s="131">
        <f t="shared" si="3"/>
        <v>59574304.685400695</v>
      </c>
    </row>
    <row r="18" spans="2:8" x14ac:dyDescent="0.2">
      <c r="B18" s="133">
        <v>4</v>
      </c>
      <c r="C18" s="131">
        <f t="shared" si="0"/>
        <v>2161799.8416650277</v>
      </c>
      <c r="D18" s="132">
        <f t="shared" si="1"/>
        <v>654057.47117553884</v>
      </c>
      <c r="E18" s="132">
        <f t="shared" si="2"/>
        <v>1507742.3704894888</v>
      </c>
      <c r="F18" s="131">
        <f t="shared" si="3"/>
        <v>58066562.314911209</v>
      </c>
    </row>
    <row r="19" spans="2:8" x14ac:dyDescent="0.2">
      <c r="B19" s="133">
        <v>5</v>
      </c>
      <c r="C19" s="131">
        <f t="shared" si="0"/>
        <v>2161799.8416650277</v>
      </c>
      <c r="D19" s="132">
        <f t="shared" si="1"/>
        <v>637504.19091093121</v>
      </c>
      <c r="E19" s="132">
        <f t="shared" si="2"/>
        <v>1524295.6507540965</v>
      </c>
      <c r="F19" s="131">
        <f t="shared" si="3"/>
        <v>56542266.664157115</v>
      </c>
    </row>
    <row r="20" spans="2:8" x14ac:dyDescent="0.2">
      <c r="B20" s="133">
        <v>6</v>
      </c>
      <c r="C20" s="131">
        <f t="shared" si="0"/>
        <v>2161799.8416650277</v>
      </c>
      <c r="D20" s="132">
        <f t="shared" si="1"/>
        <v>620769.17463300866</v>
      </c>
      <c r="E20" s="132">
        <f t="shared" si="2"/>
        <v>1541030.667032019</v>
      </c>
      <c r="F20" s="131">
        <f t="shared" si="3"/>
        <v>55001235.997125097</v>
      </c>
    </row>
    <row r="21" spans="2:8" x14ac:dyDescent="0.2">
      <c r="B21" s="133">
        <v>7</v>
      </c>
      <c r="C21" s="131">
        <f t="shared" si="0"/>
        <v>2161799.8416650277</v>
      </c>
      <c r="D21" s="132">
        <f t="shared" si="1"/>
        <v>603850.42708898708</v>
      </c>
      <c r="E21" s="132">
        <f t="shared" si="2"/>
        <v>1557949.4145760406</v>
      </c>
      <c r="F21" s="131">
        <f t="shared" si="3"/>
        <v>53443286.582549058</v>
      </c>
    </row>
    <row r="22" spans="2:8" x14ac:dyDescent="0.2">
      <c r="B22" s="133">
        <v>8</v>
      </c>
      <c r="C22" s="131">
        <f t="shared" si="0"/>
        <v>2161799.8416650277</v>
      </c>
      <c r="D22" s="132">
        <f t="shared" si="1"/>
        <v>586745.93112049741</v>
      </c>
      <c r="E22" s="132">
        <f t="shared" si="2"/>
        <v>1575053.9105445303</v>
      </c>
      <c r="F22" s="131">
        <f t="shared" si="3"/>
        <v>51868232.672004528</v>
      </c>
    </row>
    <row r="23" spans="2:8" x14ac:dyDescent="0.2">
      <c r="B23" s="133">
        <v>9</v>
      </c>
      <c r="C23" s="131">
        <f t="shared" si="0"/>
        <v>2161799.8416650277</v>
      </c>
      <c r="D23" s="132">
        <f t="shared" si="1"/>
        <v>569453.64742308727</v>
      </c>
      <c r="E23" s="132">
        <f t="shared" si="2"/>
        <v>1592346.1942419405</v>
      </c>
      <c r="F23" s="131">
        <f t="shared" si="3"/>
        <v>50275886.477762587</v>
      </c>
    </row>
    <row r="24" spans="2:8" x14ac:dyDescent="0.2">
      <c r="B24" s="133">
        <v>10</v>
      </c>
      <c r="C24" s="131">
        <f t="shared" si="0"/>
        <v>2161799.8416650277</v>
      </c>
      <c r="D24" s="132">
        <f t="shared" si="1"/>
        <v>551971.51430308283</v>
      </c>
      <c r="E24" s="132">
        <f t="shared" si="2"/>
        <v>1609828.3273619448</v>
      </c>
      <c r="F24" s="131">
        <f t="shared" si="3"/>
        <v>48666058.150400646</v>
      </c>
    </row>
    <row r="25" spans="2:8" x14ac:dyDescent="0.2">
      <c r="B25" s="133">
        <v>11</v>
      </c>
      <c r="C25" s="131">
        <f t="shared" si="0"/>
        <v>2161799.8416650277</v>
      </c>
      <c r="D25" s="132">
        <f t="shared" si="1"/>
        <v>534297.44743178075</v>
      </c>
      <c r="E25" s="132">
        <f t="shared" si="2"/>
        <v>1627502.3942332468</v>
      </c>
      <c r="F25" s="131">
        <f t="shared" si="3"/>
        <v>47038555.756167397</v>
      </c>
    </row>
    <row r="26" spans="2:8" x14ac:dyDescent="0.2">
      <c r="B26" s="133">
        <v>12</v>
      </c>
      <c r="C26" s="131">
        <f t="shared" si="0"/>
        <v>2161799.8416650277</v>
      </c>
      <c r="D26" s="132">
        <f t="shared" si="1"/>
        <v>516429.33959694108</v>
      </c>
      <c r="E26" s="132">
        <f t="shared" si="2"/>
        <v>1645370.5020680865</v>
      </c>
      <c r="F26" s="131">
        <f t="shared" si="3"/>
        <v>45393185.254099309</v>
      </c>
      <c r="G26" s="134">
        <f>+PV(C8,C6-12,C10)</f>
        <v>-45393185.254099324</v>
      </c>
      <c r="H26" s="130">
        <f>+SUM(D15:D26)</f>
        <v>7334783.3540796302</v>
      </c>
    </row>
    <row r="27" spans="2:8" x14ac:dyDescent="0.2">
      <c r="B27" s="133">
        <v>13</v>
      </c>
      <c r="C27" s="131">
        <f t="shared" si="0"/>
        <v>2161799.8416650277</v>
      </c>
      <c r="D27" s="132">
        <f t="shared" si="1"/>
        <v>498365.06045155297</v>
      </c>
      <c r="E27" s="132">
        <f t="shared" si="2"/>
        <v>1663434.7812134747</v>
      </c>
      <c r="F27" s="131">
        <f t="shared" si="3"/>
        <v>43729750.472885832</v>
      </c>
    </row>
    <row r="28" spans="2:8" x14ac:dyDescent="0.2">
      <c r="B28" s="133">
        <v>14</v>
      </c>
      <c r="C28" s="131">
        <f t="shared" si="0"/>
        <v>2161799.8416650277</v>
      </c>
      <c r="D28" s="132">
        <f t="shared" si="1"/>
        <v>480102.45625984104</v>
      </c>
      <c r="E28" s="132">
        <f t="shared" si="2"/>
        <v>1681697.3854051866</v>
      </c>
      <c r="F28" s="131">
        <f t="shared" si="3"/>
        <v>42048053.087480649</v>
      </c>
    </row>
    <row r="29" spans="2:8" x14ac:dyDescent="0.2">
      <c r="B29" s="133">
        <v>15</v>
      </c>
      <c r="C29" s="131">
        <f t="shared" si="0"/>
        <v>2161799.8416650277</v>
      </c>
      <c r="D29" s="132">
        <f t="shared" si="1"/>
        <v>461639.34964048374</v>
      </c>
      <c r="E29" s="132">
        <f t="shared" si="2"/>
        <v>1700160.4920245439</v>
      </c>
      <c r="F29" s="131">
        <f t="shared" si="3"/>
        <v>40347892.595456108</v>
      </c>
    </row>
    <row r="30" spans="2:8" x14ac:dyDescent="0.2">
      <c r="B30" s="133">
        <v>16</v>
      </c>
      <c r="C30" s="131">
        <f t="shared" si="0"/>
        <v>2161799.8416650277</v>
      </c>
      <c r="D30" s="132">
        <f t="shared" si="1"/>
        <v>442973.53930701228</v>
      </c>
      <c r="E30" s="132">
        <f t="shared" si="2"/>
        <v>1718826.3023580154</v>
      </c>
      <c r="F30" s="131">
        <f t="shared" si="3"/>
        <v>38629066.293098092</v>
      </c>
    </row>
    <row r="31" spans="2:8" x14ac:dyDescent="0.2">
      <c r="B31" s="133">
        <v>17</v>
      </c>
      <c r="C31" s="131">
        <f t="shared" si="0"/>
        <v>2161799.8416650277</v>
      </c>
      <c r="D31" s="132">
        <f t="shared" si="1"/>
        <v>424102.79980535951</v>
      </c>
      <c r="E31" s="132">
        <f t="shared" si="2"/>
        <v>1737697.0418596682</v>
      </c>
      <c r="F31" s="131">
        <f t="shared" si="3"/>
        <v>36891369.251238421</v>
      </c>
    </row>
    <row r="32" spans="2:8" x14ac:dyDescent="0.2">
      <c r="B32" s="133">
        <v>18</v>
      </c>
      <c r="C32" s="131">
        <f t="shared" si="0"/>
        <v>2161799.8416650277</v>
      </c>
      <c r="D32" s="132">
        <f t="shared" si="1"/>
        <v>405024.88124852785</v>
      </c>
      <c r="E32" s="132">
        <f t="shared" si="2"/>
        <v>1756774.9604164998</v>
      </c>
      <c r="F32" s="131">
        <f t="shared" si="3"/>
        <v>35134594.290821917</v>
      </c>
    </row>
    <row r="33" spans="2:8" x14ac:dyDescent="0.2">
      <c r="B33" s="133">
        <v>19</v>
      </c>
      <c r="C33" s="131">
        <f t="shared" si="0"/>
        <v>2161799.8416650277</v>
      </c>
      <c r="D33" s="132">
        <f t="shared" si="1"/>
        <v>385737.50904834323</v>
      </c>
      <c r="E33" s="132">
        <f t="shared" si="2"/>
        <v>1776062.3326166845</v>
      </c>
      <c r="F33" s="131">
        <f t="shared" si="3"/>
        <v>33358531.958205234</v>
      </c>
    </row>
    <row r="34" spans="2:8" x14ac:dyDescent="0.2">
      <c r="B34" s="133">
        <v>20</v>
      </c>
      <c r="C34" s="131">
        <f t="shared" si="0"/>
        <v>2161799.8416650277</v>
      </c>
      <c r="D34" s="132">
        <f t="shared" si="1"/>
        <v>366238.38364426495</v>
      </c>
      <c r="E34" s="132">
        <f t="shared" si="2"/>
        <v>1795561.4580207628</v>
      </c>
      <c r="F34" s="131">
        <f t="shared" si="3"/>
        <v>31562970.500184473</v>
      </c>
    </row>
    <row r="35" spans="2:8" x14ac:dyDescent="0.2">
      <c r="B35" s="133">
        <v>21</v>
      </c>
      <c r="C35" s="131">
        <f t="shared" si="0"/>
        <v>2161799.8416650277</v>
      </c>
      <c r="D35" s="132">
        <f t="shared" si="1"/>
        <v>346525.1802292174</v>
      </c>
      <c r="E35" s="132">
        <f t="shared" si="2"/>
        <v>1815274.6614358104</v>
      </c>
      <c r="F35" s="131">
        <f t="shared" si="3"/>
        <v>29747695.838748664</v>
      </c>
    </row>
    <row r="36" spans="2:8" x14ac:dyDescent="0.2">
      <c r="B36" s="133">
        <v>22</v>
      </c>
      <c r="C36" s="131">
        <f t="shared" si="0"/>
        <v>2161799.8416650277</v>
      </c>
      <c r="D36" s="132">
        <f t="shared" si="1"/>
        <v>326595.54847241245</v>
      </c>
      <c r="E36" s="132">
        <f t="shared" si="2"/>
        <v>1835204.2931926153</v>
      </c>
      <c r="F36" s="131">
        <f t="shared" si="3"/>
        <v>27912491.54555605</v>
      </c>
    </row>
    <row r="37" spans="2:8" x14ac:dyDescent="0.2">
      <c r="B37" s="133">
        <v>23</v>
      </c>
      <c r="C37" s="131">
        <f t="shared" si="0"/>
        <v>2161799.8416650277</v>
      </c>
      <c r="D37" s="132">
        <f t="shared" si="1"/>
        <v>306447.11223912804</v>
      </c>
      <c r="E37" s="132">
        <f t="shared" si="2"/>
        <v>1855352.7294258997</v>
      </c>
      <c r="F37" s="131">
        <f t="shared" si="3"/>
        <v>26057138.81613015</v>
      </c>
    </row>
    <row r="38" spans="2:8" x14ac:dyDescent="0.2">
      <c r="B38" s="133">
        <v>24</v>
      </c>
      <c r="C38" s="131">
        <f t="shared" si="0"/>
        <v>2161799.8416650277</v>
      </c>
      <c r="D38" s="132">
        <f t="shared" si="1"/>
        <v>286077.46930741082</v>
      </c>
      <c r="E38" s="132">
        <f t="shared" si="2"/>
        <v>1875722.3723576169</v>
      </c>
      <c r="F38" s="131">
        <f t="shared" si="3"/>
        <v>24181416.443772532</v>
      </c>
      <c r="H38" s="130">
        <f>+SUM(D27:D38)</f>
        <v>4729829.2896535536</v>
      </c>
    </row>
    <row r="39" spans="2:8" x14ac:dyDescent="0.2">
      <c r="B39" s="133">
        <v>25</v>
      </c>
      <c r="C39" s="131">
        <f t="shared" si="0"/>
        <v>2161799.8416650277</v>
      </c>
      <c r="D39" s="132">
        <f t="shared" si="1"/>
        <v>265484.19108166842</v>
      </c>
      <c r="E39" s="132">
        <f t="shared" si="2"/>
        <v>1896315.6505833592</v>
      </c>
      <c r="F39" s="131">
        <f t="shared" si="3"/>
        <v>22285100.793189172</v>
      </c>
    </row>
    <row r="40" spans="2:8" x14ac:dyDescent="0.2">
      <c r="B40" s="133">
        <v>26</v>
      </c>
      <c r="C40" s="131">
        <f t="shared" si="0"/>
        <v>2161799.8416650277</v>
      </c>
      <c r="D40" s="132">
        <f t="shared" si="1"/>
        <v>244664.82230311687</v>
      </c>
      <c r="E40" s="132">
        <f t="shared" si="2"/>
        <v>1917135.0193619109</v>
      </c>
      <c r="F40" s="131">
        <f t="shared" si="3"/>
        <v>20367965.773827262</v>
      </c>
    </row>
    <row r="41" spans="2:8" x14ac:dyDescent="0.2">
      <c r="B41" s="133">
        <v>27</v>
      </c>
      <c r="C41" s="131">
        <f t="shared" si="0"/>
        <v>2161799.8416650277</v>
      </c>
      <c r="D41" s="132">
        <f t="shared" si="1"/>
        <v>223616.88075704954</v>
      </c>
      <c r="E41" s="132">
        <f t="shared" si="2"/>
        <v>1938182.960907978</v>
      </c>
      <c r="F41" s="131">
        <f t="shared" si="3"/>
        <v>18429782.812919285</v>
      </c>
    </row>
    <row r="42" spans="2:8" x14ac:dyDescent="0.2">
      <c r="B42" s="133">
        <v>28</v>
      </c>
      <c r="C42" s="131">
        <f t="shared" si="0"/>
        <v>2161799.8416650277</v>
      </c>
      <c r="D42" s="132">
        <f t="shared" si="1"/>
        <v>202337.85697689204</v>
      </c>
      <c r="E42" s="132">
        <f t="shared" si="2"/>
        <v>1959461.9846881356</v>
      </c>
      <c r="F42" s="131">
        <f t="shared" si="3"/>
        <v>16470320.82823115</v>
      </c>
    </row>
    <row r="43" spans="2:8" x14ac:dyDescent="0.2">
      <c r="B43" s="133">
        <v>29</v>
      </c>
      <c r="C43" s="131">
        <f t="shared" si="0"/>
        <v>2161799.8416650277</v>
      </c>
      <c r="D43" s="132">
        <f t="shared" si="1"/>
        <v>180825.21394500797</v>
      </c>
      <c r="E43" s="132">
        <f t="shared" si="2"/>
        <v>1980974.6277200198</v>
      </c>
      <c r="F43" s="131">
        <f t="shared" si="3"/>
        <v>14489346.200511131</v>
      </c>
    </row>
    <row r="44" spans="2:8" x14ac:dyDescent="0.2">
      <c r="B44" s="133">
        <v>30</v>
      </c>
      <c r="C44" s="131">
        <f t="shared" si="0"/>
        <v>2161799.8416650277</v>
      </c>
      <c r="D44" s="132">
        <f t="shared" si="1"/>
        <v>159076.38679021993</v>
      </c>
      <c r="E44" s="132">
        <f t="shared" si="2"/>
        <v>2002723.4548748077</v>
      </c>
      <c r="F44" s="131">
        <f t="shared" si="3"/>
        <v>12486622.745636323</v>
      </c>
    </row>
    <row r="45" spans="2:8" x14ac:dyDescent="0.2">
      <c r="B45" s="133">
        <v>31</v>
      </c>
      <c r="C45" s="131">
        <f t="shared" si="0"/>
        <v>2161799.8416650277</v>
      </c>
      <c r="D45" s="132">
        <f t="shared" si="1"/>
        <v>137088.78248200953</v>
      </c>
      <c r="E45" s="132">
        <f t="shared" si="2"/>
        <v>2024711.059183018</v>
      </c>
      <c r="F45" s="131">
        <f t="shared" si="3"/>
        <v>10461911.686453305</v>
      </c>
    </row>
    <row r="46" spans="2:8" x14ac:dyDescent="0.2">
      <c r="B46" s="133">
        <v>32</v>
      </c>
      <c r="C46" s="131">
        <f t="shared" si="0"/>
        <v>2161799.8416650277</v>
      </c>
      <c r="D46" s="132">
        <f t="shared" si="1"/>
        <v>114859.77952136029</v>
      </c>
      <c r="E46" s="132">
        <f t="shared" si="2"/>
        <v>2046940.0621436674</v>
      </c>
      <c r="F46" s="131">
        <f t="shared" si="3"/>
        <v>8414971.6243096385</v>
      </c>
    </row>
    <row r="47" spans="2:8" x14ac:dyDescent="0.2">
      <c r="B47" s="133">
        <v>33</v>
      </c>
      <c r="C47" s="131">
        <f t="shared" si="0"/>
        <v>2161799.8416650277</v>
      </c>
      <c r="D47" s="132">
        <f t="shared" si="1"/>
        <v>92386.727628206136</v>
      </c>
      <c r="E47" s="132">
        <f t="shared" si="2"/>
        <v>2069413.1140368215</v>
      </c>
      <c r="F47" s="131">
        <f t="shared" si="3"/>
        <v>6345558.5102728168</v>
      </c>
    </row>
    <row r="48" spans="2:8" x14ac:dyDescent="0.2">
      <c r="B48" s="133">
        <v>34</v>
      </c>
      <c r="C48" s="131">
        <f t="shared" si="0"/>
        <v>2161799.8416650277</v>
      </c>
      <c r="D48" s="132">
        <f t="shared" si="1"/>
        <v>69666.947425448452</v>
      </c>
      <c r="E48" s="132">
        <f t="shared" si="2"/>
        <v>2092132.8942395793</v>
      </c>
      <c r="F48" s="131">
        <f t="shared" si="3"/>
        <v>4253425.6160332374</v>
      </c>
    </row>
    <row r="49" spans="2:8" x14ac:dyDescent="0.2">
      <c r="B49" s="133">
        <v>35</v>
      </c>
      <c r="C49" s="131">
        <f t="shared" si="0"/>
        <v>2161799.8416650277</v>
      </c>
      <c r="D49" s="132">
        <f t="shared" si="1"/>
        <v>46697.730119504224</v>
      </c>
      <c r="E49" s="132">
        <f t="shared" si="2"/>
        <v>2115102.1115455236</v>
      </c>
      <c r="F49" s="131">
        <f t="shared" si="3"/>
        <v>2138323.5044877138</v>
      </c>
    </row>
    <row r="50" spans="2:8" x14ac:dyDescent="0.2">
      <c r="B50" s="133">
        <v>36</v>
      </c>
      <c r="C50" s="131">
        <f t="shared" si="0"/>
        <v>2161799.8416650277</v>
      </c>
      <c r="D50" s="132">
        <f t="shared" ref="D50" si="4">+F49*$C$8</f>
        <v>23476.337177346664</v>
      </c>
      <c r="E50" s="132">
        <f t="shared" ref="E50" si="5">+C50-D50</f>
        <v>2138323.5044876812</v>
      </c>
      <c r="F50" s="131">
        <f t="shared" ref="F50" si="6">+F49-E50</f>
        <v>3.2596290111541748E-8</v>
      </c>
      <c r="H50" s="130">
        <f>+SUM(D39:D50)</f>
        <v>1760181.6562078302</v>
      </c>
    </row>
    <row r="51" spans="2:8" x14ac:dyDescent="0.2">
      <c r="B51" s="133"/>
      <c r="C51" s="131"/>
      <c r="D51" s="132"/>
      <c r="E51" s="132"/>
      <c r="F51" s="131"/>
    </row>
    <row r="52" spans="2:8" x14ac:dyDescent="0.2">
      <c r="B52" s="133"/>
      <c r="C52" s="131"/>
      <c r="D52" s="132"/>
      <c r="E52" s="132"/>
      <c r="F52" s="131"/>
    </row>
    <row r="53" spans="2:8" x14ac:dyDescent="0.2">
      <c r="B53" s="133"/>
      <c r="C53" s="131"/>
      <c r="D53" s="132"/>
      <c r="E53" s="132"/>
      <c r="F53" s="131"/>
    </row>
    <row r="54" spans="2:8" x14ac:dyDescent="0.2">
      <c r="B54" s="133"/>
      <c r="C54" s="131"/>
      <c r="D54" s="132"/>
      <c r="E54" s="132"/>
      <c r="F54" s="131"/>
    </row>
    <row r="55" spans="2:8" x14ac:dyDescent="0.2">
      <c r="B55" s="133"/>
      <c r="C55" s="131"/>
      <c r="D55" s="132"/>
      <c r="E55" s="132"/>
      <c r="F55" s="131"/>
    </row>
    <row r="56" spans="2:8" x14ac:dyDescent="0.2">
      <c r="B56" s="133"/>
      <c r="C56" s="131"/>
      <c r="D56" s="132"/>
      <c r="E56" s="132"/>
      <c r="F56" s="131"/>
    </row>
    <row r="57" spans="2:8" x14ac:dyDescent="0.2">
      <c r="B57" s="133"/>
      <c r="C57" s="131"/>
      <c r="D57" s="132"/>
      <c r="E57" s="132"/>
      <c r="F57" s="131"/>
    </row>
    <row r="58" spans="2:8" x14ac:dyDescent="0.2">
      <c r="B58" s="133"/>
      <c r="C58" s="131"/>
      <c r="D58" s="132"/>
      <c r="E58" s="132"/>
      <c r="F58" s="131"/>
    </row>
    <row r="59" spans="2:8" x14ac:dyDescent="0.2">
      <c r="B59" s="133"/>
      <c r="C59" s="131"/>
      <c r="D59" s="132"/>
      <c r="E59" s="132"/>
      <c r="F59" s="131"/>
    </row>
    <row r="60" spans="2:8" x14ac:dyDescent="0.2">
      <c r="B60" s="133"/>
      <c r="C60" s="131"/>
      <c r="D60" s="132"/>
      <c r="E60" s="132"/>
      <c r="F60" s="131"/>
    </row>
    <row r="61" spans="2:8" x14ac:dyDescent="0.2">
      <c r="B61" s="133"/>
      <c r="C61" s="131"/>
      <c r="D61" s="132"/>
      <c r="E61" s="132"/>
      <c r="F61" s="131"/>
    </row>
  </sheetData>
  <mergeCells count="1">
    <mergeCell ref="B3: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3814C-275B-44F7-9C20-BCB5E91F4CD1}">
  <dimension ref="B3:E29"/>
  <sheetViews>
    <sheetView topLeftCell="A7" zoomScale="80" zoomScaleNormal="80" workbookViewId="0">
      <selection activeCell="D27" sqref="D27"/>
    </sheetView>
  </sheetViews>
  <sheetFormatPr baseColWidth="10" defaultRowHeight="15" x14ac:dyDescent="0.25"/>
  <cols>
    <col min="2" max="2" width="36.28515625" customWidth="1"/>
    <col min="3" max="3" width="17.7109375" customWidth="1"/>
    <col min="4" max="4" width="24.42578125" bestFit="1" customWidth="1"/>
    <col min="5" max="5" width="20.28515625" customWidth="1"/>
  </cols>
  <sheetData>
    <row r="3" spans="2:5" x14ac:dyDescent="0.25">
      <c r="B3" s="45" t="s">
        <v>385</v>
      </c>
      <c r="C3" s="189" t="s">
        <v>384</v>
      </c>
    </row>
    <row r="4" spans="2:5" x14ac:dyDescent="0.25">
      <c r="B4" s="45" t="s">
        <v>376</v>
      </c>
      <c r="C4" s="188">
        <f>+'Modelo de valoración ASG'!B457</f>
        <v>160170399.52499509</v>
      </c>
    </row>
    <row r="5" spans="2:5" x14ac:dyDescent="0.25">
      <c r="B5" s="45" t="s">
        <v>377</v>
      </c>
      <c r="C5" s="185" t="s">
        <v>380</v>
      </c>
      <c r="E5" s="153"/>
    </row>
    <row r="6" spans="2:5" x14ac:dyDescent="0.25">
      <c r="B6" s="45" t="s">
        <v>382</v>
      </c>
      <c r="C6" s="153">
        <f>+'Modelo de valoración ASG'!C259</f>
        <v>4.249232849638529E-2</v>
      </c>
      <c r="E6" s="153"/>
    </row>
    <row r="7" spans="2:5" x14ac:dyDescent="0.25">
      <c r="B7" s="45" t="s">
        <v>383</v>
      </c>
      <c r="C7" s="153">
        <f>+AVERAGE('Modelo de valoración ASG'!D259:H259)</f>
        <v>0.21413048125452311</v>
      </c>
    </row>
    <row r="8" spans="2:5" x14ac:dyDescent="0.25">
      <c r="B8" s="45" t="s">
        <v>223</v>
      </c>
      <c r="C8" s="33">
        <f>+'Modelo de valoración ASG'!B463</f>
        <v>0.3724896035003129</v>
      </c>
    </row>
    <row r="9" spans="2:5" x14ac:dyDescent="0.25">
      <c r="B9" s="45" t="s">
        <v>374</v>
      </c>
      <c r="C9" s="188">
        <f>+AVERAGE('Modelo de valoración ASG'!C134:H134)</f>
        <v>133752781.76093054</v>
      </c>
    </row>
    <row r="10" spans="2:5" x14ac:dyDescent="0.25">
      <c r="B10" s="45" t="s">
        <v>193</v>
      </c>
      <c r="C10" s="153">
        <f>+'Modelo de valoración ASG'!B417</f>
        <v>0.15</v>
      </c>
    </row>
    <row r="11" spans="2:5" x14ac:dyDescent="0.25">
      <c r="B11" s="45" t="s">
        <v>381</v>
      </c>
      <c r="C11" s="188">
        <f>+AVERAGE('Modelo de valoración ASG'!C390:H390)</f>
        <v>886681905.91869926</v>
      </c>
    </row>
    <row r="13" spans="2:5" x14ac:dyDescent="0.25">
      <c r="B13" s="45" t="s">
        <v>366</v>
      </c>
    </row>
    <row r="15" spans="2:5" x14ac:dyDescent="0.25">
      <c r="B15" s="180" t="s">
        <v>320</v>
      </c>
      <c r="C15" s="45"/>
    </row>
    <row r="16" spans="2:5" x14ac:dyDescent="0.25">
      <c r="B16" s="160" t="s">
        <v>347</v>
      </c>
      <c r="C16">
        <v>10</v>
      </c>
    </row>
    <row r="17" spans="2:4" x14ac:dyDescent="0.25">
      <c r="B17" s="160" t="s">
        <v>348</v>
      </c>
      <c r="C17">
        <v>20</v>
      </c>
      <c r="D17" t="s">
        <v>351</v>
      </c>
    </row>
    <row r="18" spans="2:4" hidden="1" x14ac:dyDescent="0.25">
      <c r="B18" s="181" t="s">
        <v>349</v>
      </c>
      <c r="C18" s="178">
        <f>+C27/1000</f>
        <v>5</v>
      </c>
    </row>
    <row r="19" spans="2:4" x14ac:dyDescent="0.25">
      <c r="B19" s="160"/>
    </row>
    <row r="20" spans="2:4" x14ac:dyDescent="0.25">
      <c r="B20" s="180" t="s">
        <v>321</v>
      </c>
    </row>
    <row r="21" spans="2:4" ht="30" x14ac:dyDescent="0.25">
      <c r="B21" s="160" t="s">
        <v>352</v>
      </c>
      <c r="C21" s="147">
        <f>+'Info Base'!B25</f>
        <v>55555.555555555555</v>
      </c>
    </row>
    <row r="22" spans="2:4" x14ac:dyDescent="0.25">
      <c r="B22" s="160" t="s">
        <v>370</v>
      </c>
      <c r="C22" s="147">
        <v>2431</v>
      </c>
    </row>
    <row r="23" spans="2:4" x14ac:dyDescent="0.25">
      <c r="B23" s="160"/>
    </row>
    <row r="24" spans="2:4" x14ac:dyDescent="0.25">
      <c r="B24" s="180" t="s">
        <v>322</v>
      </c>
    </row>
    <row r="25" spans="2:4" x14ac:dyDescent="0.25">
      <c r="B25" s="160" t="s">
        <v>364</v>
      </c>
      <c r="C25" s="176">
        <f>+C21</f>
        <v>55555.555555555555</v>
      </c>
      <c r="D25" t="s">
        <v>363</v>
      </c>
    </row>
    <row r="26" spans="2:4" ht="30" x14ac:dyDescent="0.25">
      <c r="B26" s="160" t="s">
        <v>365</v>
      </c>
      <c r="C26" s="176">
        <f>+'Info Base'!B23</f>
        <v>1666666.6666666667</v>
      </c>
      <c r="D26" s="43"/>
    </row>
    <row r="27" spans="2:4" ht="30" x14ac:dyDescent="0.25">
      <c r="B27" s="160" t="s">
        <v>367</v>
      </c>
      <c r="C27" s="147">
        <f>+'Info Base'!B18</f>
        <v>5000</v>
      </c>
      <c r="D27" s="147">
        <f>+C27*10000</f>
        <v>50000000</v>
      </c>
    </row>
    <row r="28" spans="2:4" ht="30" x14ac:dyDescent="0.25">
      <c r="B28" s="160" t="s">
        <v>371</v>
      </c>
      <c r="C28" s="147">
        <f>3.8*C27</f>
        <v>19000</v>
      </c>
      <c r="D28" s="177" t="s">
        <v>369</v>
      </c>
    </row>
    <row r="29" spans="2:4" ht="30" x14ac:dyDescent="0.25">
      <c r="B29" s="160" t="s">
        <v>372</v>
      </c>
      <c r="C29" s="147">
        <f>(3.5-1.7)*C27</f>
        <v>9000</v>
      </c>
      <c r="D29" s="177" t="s">
        <v>373</v>
      </c>
    </row>
  </sheetData>
  <hyperlinks>
    <hyperlink ref="D28" r:id="rId1" xr:uid="{DEE3B1D9-23BF-4069-A477-6BAEF38B400C}"/>
    <hyperlink ref="D29" r:id="rId2" xr:uid="{4605B8FF-DE77-44C5-8714-F5678C67E0BD}"/>
  </hyperlinks>
  <pageMargins left="0.7" right="0.7" top="0.75" bottom="0.75" header="0.3" footer="0.3"/>
  <pageSetup orientation="portrait"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1"/>
  <sheetViews>
    <sheetView workbookViewId="0"/>
  </sheetViews>
  <sheetFormatPr baseColWidth="10" defaultColWidth="11.42578125" defaultRowHeight="15" x14ac:dyDescent="0.25"/>
  <cols>
    <col min="1" max="2" width="36.42578125" customWidth="1"/>
  </cols>
  <sheetData>
    <row r="1" spans="1:3" x14ac:dyDescent="0.25">
      <c r="A1" s="45" t="s">
        <v>280</v>
      </c>
    </row>
    <row r="3" spans="1:3" x14ac:dyDescent="0.25">
      <c r="A3" t="s">
        <v>281</v>
      </c>
      <c r="B3" t="s">
        <v>282</v>
      </c>
      <c r="C3">
        <v>0</v>
      </c>
    </row>
    <row r="4" spans="1:3" x14ac:dyDescent="0.25">
      <c r="A4" t="s">
        <v>283</v>
      </c>
    </row>
    <row r="5" spans="1:3" x14ac:dyDescent="0.25">
      <c r="A5" t="s">
        <v>284</v>
      </c>
    </row>
    <row r="7" spans="1:3" x14ac:dyDescent="0.25">
      <c r="A7" s="45" t="s">
        <v>285</v>
      </c>
      <c r="B7" t="s">
        <v>286</v>
      </c>
    </row>
    <row r="8" spans="1:3" x14ac:dyDescent="0.25">
      <c r="B8">
        <v>2</v>
      </c>
    </row>
    <row r="10" spans="1:3" x14ac:dyDescent="0.25">
      <c r="A10" t="s">
        <v>287</v>
      </c>
    </row>
    <row r="11" spans="1:3" x14ac:dyDescent="0.25">
      <c r="A11" t="e">
        <f>CB_DATA_!#REF!</f>
        <v>#REF!</v>
      </c>
      <c r="B11" t="e">
        <f>#REF!</f>
        <v>#REF!</v>
      </c>
    </row>
    <row r="13" spans="1:3" x14ac:dyDescent="0.25">
      <c r="A13" t="s">
        <v>288</v>
      </c>
    </row>
    <row r="14" spans="1:3" x14ac:dyDescent="0.25">
      <c r="A14" t="s">
        <v>289</v>
      </c>
      <c r="B14" t="s">
        <v>290</v>
      </c>
    </row>
    <row r="16" spans="1:3" x14ac:dyDescent="0.25">
      <c r="A16" t="s">
        <v>291</v>
      </c>
    </row>
    <row r="19" spans="1:2" x14ac:dyDescent="0.25">
      <c r="A19" t="s">
        <v>292</v>
      </c>
    </row>
    <row r="20" spans="1:2" x14ac:dyDescent="0.25">
      <c r="A20">
        <v>31</v>
      </c>
      <c r="B20">
        <v>31</v>
      </c>
    </row>
    <row r="25" spans="1:2" x14ac:dyDescent="0.25">
      <c r="A25" s="45" t="s">
        <v>293</v>
      </c>
    </row>
    <row r="26" spans="1:2" x14ac:dyDescent="0.25">
      <c r="A26" s="46" t="s">
        <v>294</v>
      </c>
      <c r="B26" s="46" t="s">
        <v>295</v>
      </c>
    </row>
    <row r="27" spans="1:2" x14ac:dyDescent="0.25">
      <c r="A27" t="s">
        <v>296</v>
      </c>
      <c r="B27" t="s">
        <v>297</v>
      </c>
    </row>
    <row r="28" spans="1:2" x14ac:dyDescent="0.25">
      <c r="A28" s="46" t="s">
        <v>298</v>
      </c>
      <c r="B28" s="46" t="s">
        <v>298</v>
      </c>
    </row>
    <row r="29" spans="1:2" x14ac:dyDescent="0.25">
      <c r="A29" s="46" t="s">
        <v>295</v>
      </c>
      <c r="B29" s="46" t="s">
        <v>294</v>
      </c>
    </row>
    <row r="30" spans="1:2" x14ac:dyDescent="0.25">
      <c r="A30" t="s">
        <v>299</v>
      </c>
      <c r="B30" t="s">
        <v>300</v>
      </c>
    </row>
    <row r="31" spans="1:2" x14ac:dyDescent="0.25">
      <c r="A31" s="46" t="s">
        <v>298</v>
      </c>
      <c r="B31" s="46" t="s">
        <v>298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Modelo de valoración ASG</vt:lpstr>
      <vt:lpstr>Info Base</vt:lpstr>
      <vt:lpstr>Préstamo</vt:lpstr>
      <vt:lpstr>Indicadores</vt:lpstr>
    </vt:vector>
  </TitlesOfParts>
  <Manager/>
  <Company>INALDE - Universidad de La Sabana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Maximiliano Gonzalez Ferrero</dc:creator>
  <cp:keywords/>
  <dc:description/>
  <cp:lastModifiedBy>Natalia</cp:lastModifiedBy>
  <cp:revision/>
  <dcterms:created xsi:type="dcterms:W3CDTF">2015-02-26T16:14:33Z</dcterms:created>
  <dcterms:modified xsi:type="dcterms:W3CDTF">2021-11-22T20:59:29Z</dcterms:modified>
  <cp:category/>
  <cp:contentStatus/>
</cp:coreProperties>
</file>